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drawings/drawing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66925"/>
  <mc:AlternateContent xmlns:mc="http://schemas.openxmlformats.org/markup-compatibility/2006">
    <mc:Choice Requires="x15">
      <x15ac:absPath xmlns:x15ac="http://schemas.microsoft.com/office/spreadsheetml/2010/11/ac" url="https://mintic-my.sharepoint.com/personal/jriascos_mintic_gov_co/Documents/2023/MRAE/2023/MRAE/V3/MRAE/Herramientas/"/>
    </mc:Choice>
  </mc:AlternateContent>
  <xr:revisionPtr revIDLastSave="58" documentId="13_ncr:1_{E083ECEC-D4D2-B44E-B493-2A502568BB1F}" xr6:coauthVersionLast="47" xr6:coauthVersionMax="47" xr10:uidLastSave="{5B36254F-C7EC-4E2A-8036-C7A2966DF5D6}"/>
  <bookViews>
    <workbookView xWindow="28680" yWindow="-120" windowWidth="29040" windowHeight="15990" xr2:uid="{7D6498E3-2FD1-8742-A535-BC5C0DEBC1E2}"/>
  </bookViews>
  <sheets>
    <sheet name="Inicio" sheetId="9" r:id="rId1"/>
    <sheet name="Modelo de Madurez" sheetId="15" r:id="rId2"/>
    <sheet name="Instrucciones MAE" sheetId="17" r:id="rId3"/>
    <sheet name="Instrucciones MGGTI" sheetId="18" r:id="rId4"/>
    <sheet name="Instrucciones MGPTI" sheetId="19" r:id="rId5"/>
    <sheet name="0.MRAE" sheetId="5" r:id="rId6"/>
    <sheet name="1.MAE" sheetId="3" r:id="rId7"/>
    <sheet name="1.1.Atributos MAE" sheetId="6" r:id="rId8"/>
    <sheet name="1.2.Evaluación MAE" sheetId="8" r:id="rId9"/>
    <sheet name="2.MGGTI" sheetId="2" r:id="rId10"/>
    <sheet name="2.1.Atributos MGGTI" sheetId="11" r:id="rId11"/>
    <sheet name="2.2.Evaluación MGGTI" sheetId="16" r:id="rId12"/>
    <sheet name="3.MGPTI" sheetId="1" r:id="rId13"/>
    <sheet name="3.1.Atributos MGPTI" sheetId="13" r:id="rId14"/>
    <sheet name="3.2.Evaluación MGPTI" sheetId="14" r:id="rId15"/>
  </sheets>
  <definedNames>
    <definedName name="_xlnm._FilterDatabase" localSheetId="7" hidden="1">'1.1.Atributos MAE'!$A$5:$T$65</definedName>
    <definedName name="_xlnm._FilterDatabase" localSheetId="10" hidden="1">'2.1.Atributos MGGTI'!$A$5:$AF$207</definedName>
    <definedName name="_xlnm._FilterDatabase" localSheetId="11" hidden="1">'2.2.Evaluación MGGTI'!$A$5:$H$206</definedName>
    <definedName name="_xlnm._FilterDatabase" localSheetId="13" hidden="1">'3.1.Atributos MGPTI'!$A$5:$U$43</definedName>
    <definedName name="_xlnm._FilterDatabase" localSheetId="14" hidden="1">'3.2.Evaluación MGPTI'!$A$5:$G$43</definedName>
    <definedName name="_xlnm.Print_Area" localSheetId="6">'1.MAE'!$A$1:$I$73</definedName>
    <definedName name="_xlnm.Print_Area" localSheetId="2">'Instrucciones MAE'!$B$1:$K$171</definedName>
    <definedName name="_xlnm.Print_Area" localSheetId="3">'Instrucciones MGGTI'!$B$1:$K$173</definedName>
    <definedName name="_xlnm.Print_Area" localSheetId="4">'Instrucciones MGPTI'!$B$1:$K$179</definedName>
    <definedName name="MGPTI_CE_Capacidad">'3.1.Atributos MGPTI'!$G$6:$G$43</definedName>
    <definedName name="MGPTI_CE_Enfoque">'3.1.Atributos MGPTI'!$H$6:$H$43</definedName>
    <definedName name="MGPTI_CE_Motivadores">'3.1.Atributos MGPTI'!$F$6:$F$43</definedName>
    <definedName name="MGPTI_CI_Cierre">'3.1.Atributos MGPTI'!$S$6:$S$43</definedName>
    <definedName name="MGPTI_CI_Recursos">'3.1.Atributos MGPTI'!$T$6:$T$43</definedName>
    <definedName name="MGPTI_CI_Resultados">'3.1.Atributos MGPTI'!$U$6:$U$43</definedName>
    <definedName name="MGPTI_EJ_Calidad">'3.1.Atributos MGPTI'!$Q$6:$Q$43</definedName>
    <definedName name="MGPTI_EJ_Entrega">'3.1.Atributos MGPTI'!$O$6:$O$43</definedName>
    <definedName name="MGPTI_EJ_Interesados">'3.1.Atributos MGPTI'!$N$6:$N$43</definedName>
    <definedName name="MGPTI_EJ_Recursos">'3.1.Atributos MGPTI'!$P$6:$P$43</definedName>
    <definedName name="MGPTI_EJ_Riesgos">'3.1.Atributos MGPTI'!$R$6:$R$43</definedName>
    <definedName name="MGPTI_PL_Alcance">'3.1.Atributos MGPTI'!$J$6:$J$43</definedName>
    <definedName name="MGPTI_PL_Calidad">'3.1.Atributos MGPTI'!$L$6:$L$43</definedName>
    <definedName name="MGPTI_PL_Interesados">'3.1.Atributos MGPTI'!$I$6:$I$43</definedName>
    <definedName name="MGPTI_PL_Recursos">'3.1.Atributos MGPTI'!$K$6:$K$43</definedName>
    <definedName name="MGPTI_PL_Riesgos">'3.1.Atributos MGPTI'!$M$6:$M$43</definedName>
    <definedName name="PR_MAE">'1.MAE'!$H$17</definedName>
    <definedName name="PR_MAE_CAPACIDAD">'1.MAE'!$H$52</definedName>
    <definedName name="PR_MAE_DEFINICION">'1.MAE'!$H$40</definedName>
    <definedName name="PR_MAE_GESTION">'1.MAE'!$H$28</definedName>
    <definedName name="PR_MAE_ORGANIZACIONAL">'1.MAE'!$H$52</definedName>
    <definedName name="PR_MGGTI">'2.MGGTI'!$I$18</definedName>
    <definedName name="PR_MGGTI_ESTRATEGIA" localSheetId="5">'0.MRAE'!#REF!</definedName>
    <definedName name="PR_MGGTI_ESTRATEGIA" localSheetId="6">'1.MAE'!$H$28</definedName>
    <definedName name="PR_MGGTI_ESTRATEGIA">'2.MGGTI'!$I$32</definedName>
    <definedName name="PR_MGGTI_GOBIERNO">'2.MGGTI'!$I$45</definedName>
    <definedName name="PR_MGGTI_INFORMACION">'2.MGGTI'!$I$58</definedName>
    <definedName name="PR_MGGTI_SISTEMAS">'2.MGGTI'!$I$70</definedName>
    <definedName name="PR_MGGTI_TECNOLOGIA">'2.MGGTI'!$I$82</definedName>
    <definedName name="PR_MGGTI_UYATI">'2.MGGTI'!$I$94</definedName>
    <definedName name="PR_MGPTI" localSheetId="6">'1.MAE'!$H$17</definedName>
    <definedName name="PR_MGPTI">'3.MGPTI'!$I$19</definedName>
    <definedName name="PR_MGPTI_CIERRE" localSheetId="5">'0.MRAE'!#REF!</definedName>
    <definedName name="PR_MGPTI_CIERRE" localSheetId="6">'1.MAE'!$H$63</definedName>
    <definedName name="PR_MGPTI_CIERRE">'3.MGPTI'!$I$68</definedName>
    <definedName name="PR_MGPTI_CONTEXTO" localSheetId="5">'0.MRAE'!#REF!</definedName>
    <definedName name="PR_MGPTI_CONTEXTO" localSheetId="6">'1.MAE'!$H$28</definedName>
    <definedName name="PR_MGPTI_CONTEXTO">'3.MGPTI'!$I$31</definedName>
    <definedName name="PR_MGPTI_EJECUCION" localSheetId="5">'0.MRAE'!#REF!</definedName>
    <definedName name="PR_MGPTI_EJECUCION" localSheetId="6">'1.MAE'!$H$52</definedName>
    <definedName name="PR_MGPTI_EJECUCION">'3.MGPTI'!$I$55</definedName>
    <definedName name="PR_MGPTI_PLANEACION" localSheetId="5">'0.MRAE'!#REF!</definedName>
    <definedName name="PR_MGPTI_PLANEACION" localSheetId="6">'1.MAE'!$H$40</definedName>
    <definedName name="PR_MGPTI_PLANEACION">'3.MGPTI'!$I$42</definedName>
    <definedName name="PR_TECNOLOGIA" localSheetId="6">'1.MAE'!#REF!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6" i="2" l="1"/>
  <c r="I96" i="2"/>
  <c r="L52" i="6"/>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7" i="11"/>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6" i="16"/>
  <c r="E206" i="16"/>
  <c r="D206" i="16"/>
  <c r="B206" i="16"/>
  <c r="E60" i="2"/>
  <c r="E59" i="2"/>
  <c r="H49" i="2"/>
  <c r="H47" i="2"/>
  <c r="H36" i="2"/>
  <c r="E162" i="16"/>
  <c r="E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37" i="16"/>
  <c r="E38" i="16"/>
  <c r="E39" i="16"/>
  <c r="E40" i="16"/>
  <c r="E41" i="16"/>
  <c r="E42" i="16"/>
  <c r="E43" i="16"/>
  <c r="E44" i="16"/>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73" i="16"/>
  <c r="E74" i="16"/>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6" i="16"/>
  <c r="E137" i="16"/>
  <c r="E138" i="16"/>
  <c r="E139" i="16"/>
  <c r="E140" i="16"/>
  <c r="E141" i="16"/>
  <c r="E142" i="16"/>
  <c r="E143" i="16"/>
  <c r="E144" i="16"/>
  <c r="E145" i="16"/>
  <c r="E146" i="16"/>
  <c r="E147" i="16"/>
  <c r="Z148" i="11" s="1"/>
  <c r="E83" i="2" s="1"/>
  <c r="E148" i="16"/>
  <c r="E149" i="16"/>
  <c r="E150" i="16"/>
  <c r="E151" i="16"/>
  <c r="E152" i="16"/>
  <c r="E153" i="16"/>
  <c r="E154" i="16"/>
  <c r="E155" i="16"/>
  <c r="E156" i="16"/>
  <c r="E157" i="16"/>
  <c r="E158" i="16"/>
  <c r="E159" i="16"/>
  <c r="E160" i="16"/>
  <c r="E161"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E201" i="16"/>
  <c r="E202" i="16"/>
  <c r="E203" i="16"/>
  <c r="E204" i="16"/>
  <c r="E205" i="16"/>
  <c r="E6" i="16"/>
  <c r="D55" i="16"/>
  <c r="D56" i="16"/>
  <c r="D57" i="16"/>
  <c r="D58" i="16"/>
  <c r="D59" i="16"/>
  <c r="D60" i="16"/>
  <c r="D61" i="16"/>
  <c r="D62" i="16"/>
  <c r="D63" i="16"/>
  <c r="D64" i="16"/>
  <c r="D65" i="16"/>
  <c r="D66" i="16"/>
  <c r="D67" i="16"/>
  <c r="D68" i="16"/>
  <c r="D69" i="16"/>
  <c r="D70" i="16"/>
  <c r="D71" i="16"/>
  <c r="D72"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54" i="16"/>
  <c r="D53" i="16"/>
  <c r="D52" i="16"/>
  <c r="D51" i="16"/>
  <c r="D50" i="16"/>
  <c r="D49" i="16"/>
  <c r="D48" i="16"/>
  <c r="D47" i="16"/>
  <c r="D46" i="16"/>
  <c r="D45" i="16"/>
  <c r="D44" i="16"/>
  <c r="D43" i="16"/>
  <c r="D42"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16" i="16"/>
  <c r="D15" i="16"/>
  <c r="D14" i="16"/>
  <c r="D13" i="16"/>
  <c r="D12" i="16"/>
  <c r="D11" i="16"/>
  <c r="D10" i="16"/>
  <c r="D9" i="16"/>
  <c r="D8" i="16"/>
  <c r="D7" i="16"/>
  <c r="D6"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7" i="16"/>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6" i="16"/>
  <c r="E7" i="13" l="1"/>
  <c r="F7" i="13" s="1"/>
  <c r="E8" i="13"/>
  <c r="F8" i="13" s="1"/>
  <c r="E9" i="13"/>
  <c r="G9" i="13" s="1"/>
  <c r="E10" i="13"/>
  <c r="G10" i="13" s="1"/>
  <c r="E11" i="13"/>
  <c r="G11" i="13" s="1"/>
  <c r="E12" i="13"/>
  <c r="G12" i="13" s="1"/>
  <c r="E13" i="13"/>
  <c r="G13" i="13" s="1"/>
  <c r="E14" i="13"/>
  <c r="H14" i="13" s="1"/>
  <c r="E15" i="13"/>
  <c r="E16" i="13"/>
  <c r="H16" i="13" s="1"/>
  <c r="E17" i="13"/>
  <c r="J17" i="13" s="1"/>
  <c r="E18" i="13"/>
  <c r="J18" i="13" s="1"/>
  <c r="E19" i="13"/>
  <c r="J19" i="13" s="1"/>
  <c r="E20" i="13"/>
  <c r="K20" i="13" s="1"/>
  <c r="E21" i="13"/>
  <c r="L21" i="13" s="1"/>
  <c r="H46" i="1" s="1"/>
  <c r="E22" i="13"/>
  <c r="K22" i="13" s="1"/>
  <c r="E23" i="13"/>
  <c r="J23" i="13" s="1"/>
  <c r="E24" i="13"/>
  <c r="M24" i="13" s="1"/>
  <c r="E25" i="13"/>
  <c r="K25" i="13" s="1"/>
  <c r="E26" i="13"/>
  <c r="I26" i="13" s="1"/>
  <c r="H43" i="1" s="1"/>
  <c r="E27" i="13"/>
  <c r="O27" i="13" s="1"/>
  <c r="E28" i="13"/>
  <c r="N28" i="13" s="1"/>
  <c r="H56" i="1" s="1"/>
  <c r="E29" i="13"/>
  <c r="P29" i="13" s="1"/>
  <c r="E30" i="13"/>
  <c r="O30" i="13" s="1"/>
  <c r="E31" i="13"/>
  <c r="O31" i="13" s="1"/>
  <c r="E32" i="13"/>
  <c r="Q32" i="13" s="1"/>
  <c r="H59" i="1" s="1"/>
  <c r="E33" i="13"/>
  <c r="P33" i="13" s="1"/>
  <c r="E34" i="13"/>
  <c r="P34" i="13" s="1"/>
  <c r="E35" i="13"/>
  <c r="R35" i="13" s="1"/>
  <c r="H60" i="1" s="1"/>
  <c r="E36" i="13"/>
  <c r="O36" i="13" s="1"/>
  <c r="E37" i="13"/>
  <c r="O37" i="13" s="1"/>
  <c r="E38" i="13"/>
  <c r="S38" i="13" s="1"/>
  <c r="E39" i="13"/>
  <c r="T39" i="13" s="1"/>
  <c r="E40" i="13"/>
  <c r="T40" i="13" s="1"/>
  <c r="E41" i="13"/>
  <c r="S41" i="13" s="1"/>
  <c r="E42" i="13"/>
  <c r="S42" i="13" s="1"/>
  <c r="E43" i="13"/>
  <c r="U43" i="13" s="1"/>
  <c r="H71" i="1" s="1"/>
  <c r="E6" i="13"/>
  <c r="F6" i="13" s="1"/>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D6" i="14"/>
  <c r="C6" i="14"/>
  <c r="B6" i="14"/>
  <c r="H74" i="2"/>
  <c r="G74" i="2"/>
  <c r="H73" i="2"/>
  <c r="H72" i="2"/>
  <c r="P79" i="11"/>
  <c r="P78" i="11"/>
  <c r="E49" i="2" s="1"/>
  <c r="AA181" i="11"/>
  <c r="AA177" i="11"/>
  <c r="AE203" i="11"/>
  <c r="AE202" i="11"/>
  <c r="G96" i="2" s="1"/>
  <c r="AE201" i="11"/>
  <c r="F96" i="2" s="1"/>
  <c r="AE200" i="11"/>
  <c r="E96" i="2" s="1"/>
  <c r="AF207" i="11"/>
  <c r="H97" i="2" s="1"/>
  <c r="AF206" i="11"/>
  <c r="G97" i="2" s="1"/>
  <c r="AF205" i="11"/>
  <c r="F97" i="2" s="1"/>
  <c r="AF204" i="11"/>
  <c r="E97" i="2" s="1"/>
  <c r="AD199" i="11"/>
  <c r="AD198" i="11"/>
  <c r="AD197" i="11"/>
  <c r="H95" i="2" s="1"/>
  <c r="AD196" i="11"/>
  <c r="AD195" i="11"/>
  <c r="AD194" i="11"/>
  <c r="E95" i="2" s="1"/>
  <c r="AA155" i="11"/>
  <c r="AA156" i="11"/>
  <c r="AA157" i="11"/>
  <c r="AA158" i="11"/>
  <c r="AA159" i="11"/>
  <c r="AA160" i="11"/>
  <c r="AA161" i="11"/>
  <c r="AA162" i="11"/>
  <c r="AA163" i="11"/>
  <c r="AA165" i="11"/>
  <c r="AA166" i="11"/>
  <c r="AA167" i="11"/>
  <c r="AA168" i="11"/>
  <c r="AC169" i="11"/>
  <c r="E86" i="2" s="1"/>
  <c r="AC170" i="11"/>
  <c r="AC171" i="11"/>
  <c r="AC172" i="11"/>
  <c r="AC173" i="11"/>
  <c r="AC174" i="11"/>
  <c r="AC175" i="11"/>
  <c r="AC176" i="11"/>
  <c r="AA178" i="11"/>
  <c r="AA179" i="11"/>
  <c r="AA180" i="11"/>
  <c r="AA182" i="11"/>
  <c r="AA183" i="11"/>
  <c r="AB184" i="11"/>
  <c r="AB185" i="11"/>
  <c r="AB186" i="11"/>
  <c r="AB187" i="11"/>
  <c r="H85" i="2" s="1"/>
  <c r="AB188" i="11"/>
  <c r="AB189" i="11"/>
  <c r="AB190" i="11"/>
  <c r="AC193" i="11"/>
  <c r="AC192" i="11"/>
  <c r="AC191" i="11"/>
  <c r="AA154" i="11"/>
  <c r="AA153" i="11"/>
  <c r="AA152" i="11"/>
  <c r="Z151" i="11"/>
  <c r="H83" i="2" s="1"/>
  <c r="Z150" i="11"/>
  <c r="Z149" i="11"/>
  <c r="Z147" i="11"/>
  <c r="Z146" i="11"/>
  <c r="X134" i="11"/>
  <c r="X133" i="11"/>
  <c r="X132" i="11"/>
  <c r="X131" i="11"/>
  <c r="W124" i="11"/>
  <c r="W123" i="11"/>
  <c r="Y145" i="11"/>
  <c r="Y144" i="11"/>
  <c r="X139" i="11"/>
  <c r="X138" i="11"/>
  <c r="E73" i="2" s="1"/>
  <c r="Y143" i="11"/>
  <c r="Y142" i="11"/>
  <c r="X141" i="11"/>
  <c r="X140" i="11"/>
  <c r="X137" i="11"/>
  <c r="X136" i="11"/>
  <c r="X135" i="11"/>
  <c r="W128" i="11"/>
  <c r="W127" i="11"/>
  <c r="E72" i="2" s="1"/>
  <c r="X130" i="11"/>
  <c r="X129" i="11"/>
  <c r="W126" i="11"/>
  <c r="W125" i="11"/>
  <c r="W122" i="11"/>
  <c r="W120" i="11"/>
  <c r="W121" i="11"/>
  <c r="V119" i="11"/>
  <c r="V118" i="11"/>
  <c r="V117" i="11"/>
  <c r="V116" i="11"/>
  <c r="V115" i="11"/>
  <c r="V114" i="11"/>
  <c r="V113" i="11"/>
  <c r="V112" i="11"/>
  <c r="V111" i="11"/>
  <c r="V110" i="11"/>
  <c r="F95" i="2" l="1"/>
  <c r="G85" i="2"/>
  <c r="G95" i="2"/>
  <c r="I95" i="2" s="1"/>
  <c r="F85" i="2"/>
  <c r="E85" i="2"/>
  <c r="G86" i="2"/>
  <c r="H86" i="2"/>
  <c r="F86" i="2"/>
  <c r="I97" i="2"/>
  <c r="G72" i="2"/>
  <c r="E71" i="2"/>
  <c r="E84" i="2"/>
  <c r="G83" i="2"/>
  <c r="H84" i="2"/>
  <c r="F71" i="2"/>
  <c r="F83" i="2"/>
  <c r="G71" i="2"/>
  <c r="H71" i="2"/>
  <c r="M27" i="13"/>
  <c r="F69" i="1"/>
  <c r="H58" i="1"/>
  <c r="H57" i="1"/>
  <c r="H70" i="1"/>
  <c r="F33" i="1"/>
  <c r="H69" i="1"/>
  <c r="D56" i="1"/>
  <c r="E56" i="1"/>
  <c r="D34" i="1"/>
  <c r="F56" i="1"/>
  <c r="G56" i="1"/>
  <c r="D59" i="1"/>
  <c r="D57" i="1"/>
  <c r="D70" i="1"/>
  <c r="E59" i="1"/>
  <c r="E57" i="1"/>
  <c r="E70" i="1"/>
  <c r="F59" i="1"/>
  <c r="F57" i="1"/>
  <c r="F70" i="1"/>
  <c r="G59" i="1"/>
  <c r="G57" i="1"/>
  <c r="G70" i="1"/>
  <c r="D58" i="1"/>
  <c r="D60" i="1"/>
  <c r="D69" i="1"/>
  <c r="D71" i="1"/>
  <c r="E58" i="1"/>
  <c r="E60" i="1"/>
  <c r="E69" i="1"/>
  <c r="E71" i="1"/>
  <c r="F58" i="1"/>
  <c r="F60" i="1"/>
  <c r="F71" i="1"/>
  <c r="G58" i="1"/>
  <c r="G60" i="1"/>
  <c r="G69" i="1"/>
  <c r="G71" i="1"/>
  <c r="D32" i="1"/>
  <c r="H32" i="1"/>
  <c r="G32" i="1"/>
  <c r="F32" i="1"/>
  <c r="E32" i="1"/>
  <c r="H45" i="1"/>
  <c r="G45" i="1"/>
  <c r="D45" i="1"/>
  <c r="F45" i="1"/>
  <c r="E45" i="1"/>
  <c r="H44" i="1"/>
  <c r="G44" i="1"/>
  <c r="E44" i="1"/>
  <c r="D44" i="1"/>
  <c r="F44" i="1"/>
  <c r="F34" i="1"/>
  <c r="D46" i="1"/>
  <c r="G33" i="1"/>
  <c r="E46" i="1"/>
  <c r="G34" i="1"/>
  <c r="F46" i="1"/>
  <c r="G46" i="1"/>
  <c r="H34" i="1"/>
  <c r="D33" i="1"/>
  <c r="E33" i="1"/>
  <c r="F43" i="1"/>
  <c r="E43" i="1"/>
  <c r="E34" i="1"/>
  <c r="G43" i="1"/>
  <c r="H33" i="1"/>
  <c r="D43" i="1"/>
  <c r="M29" i="13"/>
  <c r="M28" i="13"/>
  <c r="F72" i="2"/>
  <c r="G84" i="2"/>
  <c r="F84" i="2"/>
  <c r="F74" i="2"/>
  <c r="F73" i="2"/>
  <c r="E74" i="2"/>
  <c r="G73" i="2"/>
  <c r="I85" i="2" l="1"/>
  <c r="I72" i="2"/>
  <c r="I94" i="2"/>
  <c r="I86" i="2"/>
  <c r="I83" i="2"/>
  <c r="I84" i="2"/>
  <c r="I71" i="2"/>
  <c r="I73" i="2"/>
  <c r="I74" i="2"/>
  <c r="H47" i="1"/>
  <c r="D47" i="1"/>
  <c r="E47" i="1"/>
  <c r="F47" i="1"/>
  <c r="G47" i="1"/>
  <c r="I32" i="1"/>
  <c r="I82" i="2" l="1"/>
  <c r="I70" i="2"/>
  <c r="S109" i="11" l="1"/>
  <c r="S108" i="11"/>
  <c r="S107" i="11"/>
  <c r="S106" i="11"/>
  <c r="S105" i="11"/>
  <c r="S104" i="11"/>
  <c r="S103" i="11"/>
  <c r="S102" i="11"/>
  <c r="S101" i="11"/>
  <c r="U100" i="11"/>
  <c r="U99" i="11"/>
  <c r="U98" i="11"/>
  <c r="U97" i="11"/>
  <c r="U96" i="11"/>
  <c r="U95" i="11"/>
  <c r="U94" i="11"/>
  <c r="U93" i="11"/>
  <c r="E62" i="2" s="1"/>
  <c r="U92" i="11"/>
  <c r="U91" i="11"/>
  <c r="U90" i="11"/>
  <c r="U89" i="11"/>
  <c r="U88" i="11"/>
  <c r="T87" i="11"/>
  <c r="H61" i="2" s="1"/>
  <c r="T86" i="11"/>
  <c r="G61" i="2" s="1"/>
  <c r="T85" i="11"/>
  <c r="F61" i="2" s="1"/>
  <c r="T84" i="11"/>
  <c r="E61" i="2" s="1"/>
  <c r="R83" i="11"/>
  <c r="H59" i="2" s="1"/>
  <c r="R82" i="11"/>
  <c r="R81" i="11"/>
  <c r="F59" i="2" s="1"/>
  <c r="R80" i="11"/>
  <c r="H36" i="11"/>
  <c r="M48" i="11"/>
  <c r="E46" i="2" s="1"/>
  <c r="P77" i="11"/>
  <c r="G49" i="2" s="1"/>
  <c r="P76" i="11"/>
  <c r="P75" i="11"/>
  <c r="P74" i="11"/>
  <c r="P73" i="11"/>
  <c r="P72" i="11"/>
  <c r="O71" i="11"/>
  <c r="O70" i="11"/>
  <c r="O69" i="11"/>
  <c r="O68" i="11"/>
  <c r="O65" i="11"/>
  <c r="O66" i="11"/>
  <c r="O67" i="11"/>
  <c r="Q29" i="11"/>
  <c r="H50" i="2" s="1"/>
  <c r="Q28" i="11"/>
  <c r="K46" i="11"/>
  <c r="F36" i="2" s="1"/>
  <c r="K47" i="11"/>
  <c r="G36" i="2" s="1"/>
  <c r="K45" i="11"/>
  <c r="E36" i="2" s="1"/>
  <c r="H37" i="11"/>
  <c r="O64" i="11"/>
  <c r="O63" i="11"/>
  <c r="O62" i="11"/>
  <c r="O61" i="11"/>
  <c r="N60" i="11"/>
  <c r="G47" i="2" s="1"/>
  <c r="N59" i="11"/>
  <c r="F47" i="2" s="1"/>
  <c r="N58" i="11"/>
  <c r="E47" i="2" s="1"/>
  <c r="O57" i="11"/>
  <c r="O56" i="11"/>
  <c r="O55" i="11"/>
  <c r="Q54" i="11"/>
  <c r="Q53" i="11"/>
  <c r="Q52" i="11"/>
  <c r="M51" i="11"/>
  <c r="H46" i="2" s="1"/>
  <c r="M50" i="11"/>
  <c r="G46" i="2" s="1"/>
  <c r="M49" i="11"/>
  <c r="F46" i="2" s="1"/>
  <c r="H44" i="11"/>
  <c r="H43" i="11"/>
  <c r="O42" i="11"/>
  <c r="H41" i="11"/>
  <c r="H40" i="11"/>
  <c r="O39" i="11"/>
  <c r="H38" i="11"/>
  <c r="L35" i="11"/>
  <c r="L34" i="11"/>
  <c r="L33" i="11"/>
  <c r="L32" i="11"/>
  <c r="L31" i="11"/>
  <c r="L30" i="11"/>
  <c r="L29" i="11"/>
  <c r="L28" i="11"/>
  <c r="L27" i="11"/>
  <c r="L26" i="11"/>
  <c r="H17" i="11"/>
  <c r="J16" i="11"/>
  <c r="G35" i="2" s="1"/>
  <c r="J15" i="11"/>
  <c r="F35" i="2" s="1"/>
  <c r="J14" i="11"/>
  <c r="E35" i="2" s="1"/>
  <c r="I12" i="11"/>
  <c r="I11" i="11"/>
  <c r="H10" i="11"/>
  <c r="H9" i="11"/>
  <c r="H8" i="11"/>
  <c r="H7" i="11"/>
  <c r="E33" i="2" s="1"/>
  <c r="H60" i="2" l="1"/>
  <c r="G50" i="2"/>
  <c r="G60" i="2"/>
  <c r="I47" i="2"/>
  <c r="I36" i="2"/>
  <c r="E37" i="2"/>
  <c r="I61" i="2"/>
  <c r="F60" i="2"/>
  <c r="F49" i="2"/>
  <c r="I49" i="2" s="1"/>
  <c r="F37" i="2"/>
  <c r="G33" i="2"/>
  <c r="H48" i="2"/>
  <c r="G37" i="2"/>
  <c r="H33" i="2"/>
  <c r="H37" i="2"/>
  <c r="E48" i="2"/>
  <c r="G48" i="2"/>
  <c r="I46" i="2"/>
  <c r="F62" i="2"/>
  <c r="G62" i="2"/>
  <c r="G59" i="2"/>
  <c r="I59" i="2" s="1"/>
  <c r="H62" i="2"/>
  <c r="O40" i="11"/>
  <c r="O43" i="11"/>
  <c r="Q26" i="11"/>
  <c r="E50" i="2" s="1"/>
  <c r="Q27" i="11"/>
  <c r="F50" i="2" s="1"/>
  <c r="I13" i="11"/>
  <c r="I19" i="11"/>
  <c r="I20" i="11"/>
  <c r="I21" i="11"/>
  <c r="I22" i="11"/>
  <c r="I23" i="11"/>
  <c r="I24" i="11"/>
  <c r="I25" i="11"/>
  <c r="I18" i="11"/>
  <c r="J17" i="11"/>
  <c r="H39" i="11"/>
  <c r="H42" i="11"/>
  <c r="I60" i="2" l="1"/>
  <c r="E34" i="2"/>
  <c r="I50" i="2"/>
  <c r="I37" i="2"/>
  <c r="F48" i="2"/>
  <c r="I48" i="2" s="1"/>
  <c r="I62" i="2"/>
  <c r="H34" i="2"/>
  <c r="G34" i="2"/>
  <c r="F33" i="2"/>
  <c r="I33" i="2" s="1"/>
  <c r="F34" i="2"/>
  <c r="H35" i="2"/>
  <c r="I35" i="2" s="1"/>
  <c r="B16" i="8"/>
  <c r="I45" i="2" l="1"/>
  <c r="I58" i="2"/>
  <c r="I34" i="2"/>
  <c r="I32" i="2" s="1"/>
  <c r="E19" i="2" s="1"/>
  <c r="E65" i="6"/>
  <c r="S65" i="6" s="1"/>
  <c r="E64" i="6"/>
  <c r="I64" i="6" s="1"/>
  <c r="E63" i="6"/>
  <c r="S63" i="6" s="1"/>
  <c r="E62" i="6"/>
  <c r="S62" i="6" s="1"/>
  <c r="E61" i="6"/>
  <c r="T61" i="6" s="1"/>
  <c r="G64" i="3" s="1"/>
  <c r="E60" i="6"/>
  <c r="R60" i="6" s="1"/>
  <c r="G65" i="3" s="1"/>
  <c r="E59" i="6"/>
  <c r="Q59" i="6" s="1"/>
  <c r="E58" i="6"/>
  <c r="M58" i="6" s="1"/>
  <c r="F44" i="3" s="1"/>
  <c r="E57" i="6"/>
  <c r="S57" i="6" s="1"/>
  <c r="E56" i="6"/>
  <c r="N56" i="6" s="1"/>
  <c r="E55" i="6"/>
  <c r="S55" i="6" s="1"/>
  <c r="E54" i="6"/>
  <c r="K54" i="6" s="1"/>
  <c r="E53" i="6"/>
  <c r="R53" i="6" s="1"/>
  <c r="F65" i="3" s="1"/>
  <c r="E52" i="6"/>
  <c r="F43" i="3" s="1"/>
  <c r="E51" i="6"/>
  <c r="F51" i="6" s="1"/>
  <c r="E50" i="6"/>
  <c r="O50" i="6" s="1"/>
  <c r="E49" i="6"/>
  <c r="S49" i="6" s="1"/>
  <c r="E48" i="6"/>
  <c r="M48" i="6" s="1"/>
  <c r="E47" i="6"/>
  <c r="I47" i="6" s="1"/>
  <c r="E46" i="6"/>
  <c r="P46" i="6" s="1"/>
  <c r="E45" i="6"/>
  <c r="S45" i="6" s="1"/>
  <c r="E44" i="6"/>
  <c r="E43" i="6"/>
  <c r="S43" i="6" s="1"/>
  <c r="E42" i="6"/>
  <c r="O42" i="6" s="1"/>
  <c r="E41" i="6"/>
  <c r="S41" i="6" s="1"/>
  <c r="E40" i="6"/>
  <c r="J40" i="6" s="1"/>
  <c r="E39" i="6"/>
  <c r="E38" i="6"/>
  <c r="P38" i="6" s="1"/>
  <c r="E37" i="6"/>
  <c r="T37" i="6" s="1"/>
  <c r="E36" i="6"/>
  <c r="K36" i="6" s="1"/>
  <c r="E35" i="6"/>
  <c r="E34" i="6"/>
  <c r="N34" i="6" s="1"/>
  <c r="E33" i="6"/>
  <c r="S33" i="6" s="1"/>
  <c r="E32" i="6"/>
  <c r="K32" i="6" s="1"/>
  <c r="E31" i="6"/>
  <c r="G31" i="6" s="1"/>
  <c r="E30" i="6"/>
  <c r="O30" i="6" s="1"/>
  <c r="E29" i="6"/>
  <c r="T29" i="6" s="1"/>
  <c r="E28" i="6"/>
  <c r="J28" i="6" s="1"/>
  <c r="E27" i="6"/>
  <c r="G27" i="6" s="1"/>
  <c r="E26" i="6"/>
  <c r="O26" i="6" s="1"/>
  <c r="E25" i="6"/>
  <c r="Q25" i="6" s="1"/>
  <c r="E24" i="6"/>
  <c r="P24" i="6" s="1"/>
  <c r="E23" i="6"/>
  <c r="S23" i="6" s="1"/>
  <c r="E22" i="6"/>
  <c r="S22" i="6" s="1"/>
  <c r="E21" i="6"/>
  <c r="S21" i="6" s="1"/>
  <c r="E20" i="6"/>
  <c r="T20" i="6" s="1"/>
  <c r="E19" i="6"/>
  <c r="T19" i="6" s="1"/>
  <c r="E18" i="6"/>
  <c r="O18" i="6" s="1"/>
  <c r="E17" i="6"/>
  <c r="R17" i="6" s="1"/>
  <c r="E16" i="6"/>
  <c r="J16" i="6" s="1"/>
  <c r="E15" i="6"/>
  <c r="Q15" i="6" s="1"/>
  <c r="E14" i="6"/>
  <c r="I14" i="6" s="1"/>
  <c r="E13" i="6"/>
  <c r="T13" i="6" s="1"/>
  <c r="E12" i="6"/>
  <c r="H12" i="6" s="1"/>
  <c r="E11" i="6"/>
  <c r="G11" i="6" s="1"/>
  <c r="E10" i="6"/>
  <c r="O10" i="6" s="1"/>
  <c r="E9" i="6"/>
  <c r="O9" i="6" s="1"/>
  <c r="E8" i="6"/>
  <c r="J8" i="6" s="1"/>
  <c r="E7" i="6"/>
  <c r="O7" i="6" s="1"/>
  <c r="E6" i="6"/>
  <c r="B7" i="8"/>
  <c r="B8" i="8"/>
  <c r="B9" i="8"/>
  <c r="B10" i="8"/>
  <c r="B11" i="8"/>
  <c r="B12" i="8"/>
  <c r="B13" i="8"/>
  <c r="B14" i="8"/>
  <c r="B15"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 i="8"/>
  <c r="T35" i="6"/>
  <c r="P14" i="6"/>
  <c r="H44" i="6" l="1"/>
  <c r="T44" i="6"/>
  <c r="Q39" i="6"/>
  <c r="E67" i="3"/>
  <c r="D19" i="2"/>
  <c r="G19" i="2"/>
  <c r="H19" i="2"/>
  <c r="F19" i="2"/>
  <c r="M14" i="6"/>
  <c r="O13" i="6"/>
  <c r="G13" i="6"/>
  <c r="K12" i="6"/>
  <c r="K13" i="6"/>
  <c r="S14" i="6"/>
  <c r="Q7" i="6"/>
  <c r="F8" i="6"/>
  <c r="O12" i="6"/>
  <c r="S12" i="6"/>
  <c r="O8" i="6"/>
  <c r="Q8" i="6"/>
  <c r="J11" i="6"/>
  <c r="R27" i="6"/>
  <c r="S47" i="6"/>
  <c r="O11" i="6"/>
  <c r="R11" i="6"/>
  <c r="J9" i="6"/>
  <c r="G10" i="6"/>
  <c r="Q51" i="6"/>
  <c r="F7" i="6"/>
  <c r="J10" i="6"/>
  <c r="S31" i="6"/>
  <c r="Q10" i="6"/>
  <c r="J7" i="6"/>
  <c r="Q9" i="6"/>
  <c r="F9" i="6"/>
  <c r="F25" i="6"/>
  <c r="H45" i="6"/>
  <c r="I65" i="6"/>
  <c r="G29" i="3" s="1"/>
  <c r="G19" i="6"/>
  <c r="F39" i="6"/>
  <c r="F59" i="6"/>
  <c r="H33" i="6"/>
  <c r="G53" i="6"/>
  <c r="H21" i="6"/>
  <c r="F41" i="6"/>
  <c r="G61" i="6"/>
  <c r="G29" i="6"/>
  <c r="I49" i="6"/>
  <c r="H23" i="6"/>
  <c r="H43" i="6"/>
  <c r="H63" i="6"/>
  <c r="G31" i="3" s="1"/>
  <c r="F15" i="6"/>
  <c r="H35" i="6"/>
  <c r="H55" i="6"/>
  <c r="G17" i="6"/>
  <c r="H37" i="6"/>
  <c r="H57" i="6"/>
  <c r="D55" i="3"/>
  <c r="G67" i="3"/>
  <c r="M64" i="6"/>
  <c r="P64" i="6"/>
  <c r="R28" i="6"/>
  <c r="G20" i="6"/>
  <c r="G28" i="6"/>
  <c r="H34" i="6"/>
  <c r="G42" i="6"/>
  <c r="I48" i="6"/>
  <c r="H56" i="6"/>
  <c r="G60" i="6"/>
  <c r="J22" i="6"/>
  <c r="K30" i="6"/>
  <c r="K44" i="6"/>
  <c r="K62" i="6"/>
  <c r="O22" i="6"/>
  <c r="N32" i="6"/>
  <c r="O40" i="6"/>
  <c r="P48" i="6"/>
  <c r="O60" i="6"/>
  <c r="R16" i="6"/>
  <c r="R18" i="6"/>
  <c r="R26" i="6"/>
  <c r="T30" i="6"/>
  <c r="S32" i="6"/>
  <c r="S34" i="6"/>
  <c r="T36" i="6"/>
  <c r="S38" i="6"/>
  <c r="Q40" i="6"/>
  <c r="R42" i="6"/>
  <c r="E65" i="3" s="1"/>
  <c r="S46" i="6"/>
  <c r="S48" i="6"/>
  <c r="Q50" i="6"/>
  <c r="T52" i="6"/>
  <c r="F67" i="3" s="1"/>
  <c r="S54" i="6"/>
  <c r="S56" i="6"/>
  <c r="S64" i="6"/>
  <c r="G66" i="3" s="1"/>
  <c r="G18" i="6"/>
  <c r="G26" i="6"/>
  <c r="F40" i="6"/>
  <c r="H54" i="6"/>
  <c r="J18" i="6"/>
  <c r="J26" i="6"/>
  <c r="K34" i="6"/>
  <c r="J60" i="6"/>
  <c r="G41" i="3" s="1"/>
  <c r="O20" i="6"/>
  <c r="O28" i="6"/>
  <c r="N36" i="6"/>
  <c r="N44" i="6"/>
  <c r="N54" i="6"/>
  <c r="P58" i="6"/>
  <c r="F55" i="3" s="1"/>
  <c r="S24" i="6"/>
  <c r="J15" i="6"/>
  <c r="J17" i="6"/>
  <c r="J21" i="6"/>
  <c r="K23" i="6"/>
  <c r="J25" i="6"/>
  <c r="J27" i="6"/>
  <c r="L29" i="6"/>
  <c r="D43" i="3" s="1"/>
  <c r="J31" i="6"/>
  <c r="K33" i="6"/>
  <c r="K35" i="6"/>
  <c r="K37" i="6"/>
  <c r="J39" i="6"/>
  <c r="L41" i="6"/>
  <c r="E43" i="3" s="1"/>
  <c r="K43" i="6"/>
  <c r="K45" i="6"/>
  <c r="M47" i="6"/>
  <c r="M49" i="6"/>
  <c r="J51" i="6"/>
  <c r="J53" i="6"/>
  <c r="K55" i="6"/>
  <c r="K57" i="6"/>
  <c r="L59" i="6"/>
  <c r="G43" i="3" s="1"/>
  <c r="K61" i="6"/>
  <c r="K63" i="6"/>
  <c r="M65" i="6"/>
  <c r="G16" i="6"/>
  <c r="I24" i="6"/>
  <c r="H32" i="6"/>
  <c r="H36" i="6"/>
  <c r="F50" i="6"/>
  <c r="G62" i="6"/>
  <c r="K20" i="6"/>
  <c r="J42" i="6"/>
  <c r="J50" i="6"/>
  <c r="K56" i="6"/>
  <c r="O16" i="6"/>
  <c r="O52" i="6"/>
  <c r="O62" i="6"/>
  <c r="S58" i="6"/>
  <c r="N23" i="6"/>
  <c r="O27" i="6"/>
  <c r="N37" i="6"/>
  <c r="P47" i="6"/>
  <c r="N55" i="6"/>
  <c r="O61" i="6"/>
  <c r="P65" i="6"/>
  <c r="H22" i="6"/>
  <c r="G30" i="6"/>
  <c r="I38" i="6"/>
  <c r="I46" i="6"/>
  <c r="G52" i="6"/>
  <c r="I58" i="6"/>
  <c r="F32" i="3" s="1"/>
  <c r="M24" i="6"/>
  <c r="M38" i="6"/>
  <c r="M46" i="6"/>
  <c r="K19" i="6"/>
  <c r="O15" i="6"/>
  <c r="O17" i="6"/>
  <c r="O19" i="6"/>
  <c r="O21" i="6"/>
  <c r="O25" i="6"/>
  <c r="O29" i="6"/>
  <c r="O31" i="6"/>
  <c r="N33" i="6"/>
  <c r="N35" i="6"/>
  <c r="O39" i="6"/>
  <c r="O41" i="6"/>
  <c r="N43" i="6"/>
  <c r="N45" i="6"/>
  <c r="P49" i="6"/>
  <c r="O51" i="6"/>
  <c r="O53" i="6"/>
  <c r="N57" i="6"/>
  <c r="O59" i="6"/>
  <c r="N63" i="6"/>
  <c r="G53" i="3" s="1"/>
  <c r="H43" i="3" l="1"/>
  <c r="E31" i="3"/>
  <c r="D29" i="3"/>
  <c r="D64" i="3"/>
  <c r="G32" i="3"/>
  <c r="F30" i="3"/>
  <c r="D44" i="3"/>
  <c r="E55" i="3"/>
  <c r="G42" i="3"/>
  <c r="D54" i="3"/>
  <c r="F66" i="3"/>
  <c r="D42" i="3"/>
  <c r="G54" i="3"/>
  <c r="E41" i="3"/>
  <c r="F54" i="3"/>
  <c r="D41" i="3"/>
  <c r="D67" i="3"/>
  <c r="H67" i="3" s="1"/>
  <c r="D66" i="3"/>
  <c r="G55" i="3"/>
  <c r="E66" i="3"/>
  <c r="G44" i="3"/>
  <c r="F42" i="3"/>
  <c r="D65" i="3"/>
  <c r="H65" i="3" s="1"/>
  <c r="E53" i="3"/>
  <c r="F53" i="3"/>
  <c r="D53" i="3"/>
  <c r="E54" i="3"/>
  <c r="E44" i="3"/>
  <c r="F41" i="3"/>
  <c r="E42" i="3"/>
  <c r="D31" i="3"/>
  <c r="D32" i="3"/>
  <c r="D30" i="3"/>
  <c r="E30" i="3"/>
  <c r="E29" i="3"/>
  <c r="F64" i="3"/>
  <c r="F29" i="3"/>
  <c r="F31" i="3"/>
  <c r="G30" i="3"/>
  <c r="E32" i="3"/>
  <c r="E64" i="3"/>
  <c r="H66" i="3" l="1"/>
  <c r="H55" i="3"/>
  <c r="H44" i="3"/>
  <c r="H53" i="3"/>
  <c r="H41" i="3"/>
  <c r="H64" i="3"/>
  <c r="H42" i="3"/>
  <c r="H54" i="3"/>
  <c r="H31" i="3"/>
  <c r="H32" i="3"/>
  <c r="H30" i="3"/>
  <c r="H29" i="3"/>
  <c r="H52" i="3" l="1"/>
  <c r="D20" i="3" s="1"/>
  <c r="E24" i="2" l="1" a="1"/>
  <c r="E24" i="2" s="1"/>
  <c r="D22" i="2" a="1"/>
  <c r="D22" i="2" s="1"/>
  <c r="H40" i="3"/>
  <c r="C19" i="3" s="1"/>
  <c r="H63" i="3"/>
  <c r="D21" i="3"/>
  <c r="H28" i="3"/>
  <c r="C18" i="3" s="1"/>
  <c r="F22" i="2" a="1"/>
  <c r="F22" i="2" s="1"/>
  <c r="E22" i="2" a="1"/>
  <c r="E22" i="2" s="1"/>
  <c r="G22" i="2" a="1"/>
  <c r="G22" i="2" s="1"/>
  <c r="D23" i="2" a="1"/>
  <c r="D23" i="2" s="1"/>
  <c r="E23" i="2" a="1"/>
  <c r="E23" i="2" s="1"/>
  <c r="H23" i="2" a="1"/>
  <c r="H23" i="2" s="1"/>
  <c r="G23" i="2" a="1"/>
  <c r="G23" i="2" s="1"/>
  <c r="F23" i="2" a="1"/>
  <c r="F23" i="2" s="1"/>
  <c r="F24" i="2" a="1"/>
  <c r="F24" i="2" s="1"/>
  <c r="G24" i="2" a="1"/>
  <c r="G24" i="2" s="1"/>
  <c r="H24" i="2" a="1"/>
  <c r="H24" i="2" s="1"/>
  <c r="D24" i="2" a="1"/>
  <c r="D24" i="2" s="1"/>
  <c r="H22" i="2" l="1" a="1"/>
  <c r="H22" i="2" s="1"/>
  <c r="I22" i="2" s="1"/>
  <c r="E21" i="3"/>
  <c r="C20" i="3"/>
  <c r="G21" i="3"/>
  <c r="F20" i="3"/>
  <c r="E20" i="3"/>
  <c r="E19" i="3"/>
  <c r="F19" i="3"/>
  <c r="C21" i="3"/>
  <c r="G20" i="3"/>
  <c r="F21" i="3"/>
  <c r="D19" i="3"/>
  <c r="G19" i="3"/>
  <c r="G18" i="3"/>
  <c r="D18" i="3"/>
  <c r="F18" i="3"/>
  <c r="E18" i="3"/>
  <c r="I23" i="2"/>
  <c r="D21" i="2" a="1"/>
  <c r="D21" i="2" s="1"/>
  <c r="H21" i="2" a="1"/>
  <c r="H21" i="2" s="1"/>
  <c r="G21" i="2" a="1"/>
  <c r="G21" i="2" s="1"/>
  <c r="E21" i="2" a="1"/>
  <c r="E21" i="2" s="1"/>
  <c r="F21" i="2" a="1"/>
  <c r="F21" i="2" s="1"/>
  <c r="F20" i="2" a="1"/>
  <c r="F20" i="2" s="1"/>
  <c r="E20" i="2" a="1"/>
  <c r="E20" i="2" s="1"/>
  <c r="H20" i="2" a="1"/>
  <c r="H20" i="2" s="1"/>
  <c r="G20" i="2" a="1"/>
  <c r="G20" i="2" s="1"/>
  <c r="D20" i="2" a="1"/>
  <c r="D20" i="2" s="1"/>
  <c r="I24" i="2"/>
  <c r="H20" i="3" l="1"/>
  <c r="H21" i="3"/>
  <c r="H19" i="3"/>
  <c r="H18" i="3"/>
  <c r="I20" i="2"/>
  <c r="I21" i="2"/>
  <c r="H17" i="3" l="1"/>
  <c r="F13" i="5" s="1"/>
  <c r="I71" i="1"/>
  <c r="I70" i="1"/>
  <c r="I69" i="1"/>
  <c r="I60" i="1"/>
  <c r="I59" i="1"/>
  <c r="I58" i="1"/>
  <c r="I57" i="1"/>
  <c r="I56" i="1"/>
  <c r="I47" i="1"/>
  <c r="I46" i="1"/>
  <c r="I45" i="1"/>
  <c r="I44" i="1"/>
  <c r="I43" i="1"/>
  <c r="I34" i="1"/>
  <c r="I33" i="1"/>
  <c r="I68" i="1" l="1"/>
  <c r="I42" i="1"/>
  <c r="D21" i="1" s="1"/>
  <c r="I31" i="1"/>
  <c r="D20" i="1" s="1"/>
  <c r="I55" i="1"/>
  <c r="D22" i="1" s="1"/>
  <c r="E13" i="5"/>
  <c r="D13" i="5"/>
  <c r="H13" i="5"/>
  <c r="G13" i="5"/>
  <c r="I13" i="5" l="1"/>
  <c r="H23" i="1"/>
  <c r="F23" i="1"/>
  <c r="D23" i="1"/>
  <c r="G23" i="1"/>
  <c r="E23" i="1"/>
  <c r="E21" i="1"/>
  <c r="G21" i="1"/>
  <c r="H21" i="1"/>
  <c r="F21" i="1"/>
  <c r="H22" i="1"/>
  <c r="G22" i="1"/>
  <c r="F22" i="1"/>
  <c r="E22" i="1"/>
  <c r="F20" i="1"/>
  <c r="H20" i="1"/>
  <c r="G20" i="1"/>
  <c r="E20" i="1"/>
  <c r="I23" i="1" l="1"/>
  <c r="I22" i="1"/>
  <c r="I19" i="2"/>
  <c r="I18" i="2" s="1"/>
  <c r="I21" i="1"/>
  <c r="H14" i="5" l="1"/>
  <c r="G14" i="5"/>
  <c r="F14" i="5"/>
  <c r="D14" i="5"/>
  <c r="E14" i="5"/>
  <c r="I14" i="5" l="1"/>
  <c r="I20" i="1" l="1"/>
  <c r="I19" i="1" s="1"/>
  <c r="H15" i="5" l="1"/>
  <c r="D15" i="5" l="1"/>
  <c r="E15" i="5"/>
  <c r="G15" i="5"/>
  <c r="F15" i="5"/>
  <c r="I15" i="5" l="1"/>
  <c r="I12"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Alexandra Parra</author>
  </authors>
  <commentList>
    <comment ref="C17" authorId="0" shapeId="0" xr:uid="{6ABF3673-0EE1-5C47-BEFB-4AD3AA2BFC56}">
      <text>
        <r>
          <rPr>
            <sz val="10"/>
            <color rgb="FF000000"/>
            <rFont val="Tahoma"/>
            <family val="2"/>
          </rPr>
          <t xml:space="preserve">
</t>
        </r>
        <r>
          <rPr>
            <b/>
            <sz val="10"/>
            <color rgb="FF000000"/>
            <rFont val="Tahoma"/>
            <family val="2"/>
          </rPr>
          <t xml:space="preserve">Etapa 0. </t>
        </r>
        <r>
          <rPr>
            <sz val="10"/>
            <color rgb="FF000000"/>
            <rFont val="Tahoma"/>
            <family val="2"/>
          </rPr>
          <t>Crear la Conciencia de AE</t>
        </r>
      </text>
    </comment>
    <comment ref="D17" authorId="0" shapeId="0" xr:uid="{68399270-0F3C-E14C-BB73-3D2B1C91754B}">
      <text>
        <r>
          <rPr>
            <sz val="10"/>
            <color rgb="FF000000"/>
            <rFont val="Tahoma"/>
            <family val="2"/>
          </rPr>
          <t xml:space="preserve">
</t>
        </r>
        <r>
          <rPr>
            <b/>
            <sz val="10"/>
            <color rgb="FF000000"/>
            <rFont val="Tahoma"/>
            <family val="2"/>
          </rPr>
          <t xml:space="preserve">Etapa 1: 
</t>
        </r>
        <r>
          <rPr>
            <sz val="10"/>
            <color rgb="FF000000"/>
            <rFont val="Tahoma"/>
            <family val="2"/>
          </rPr>
          <t xml:space="preserve">
</t>
        </r>
        <r>
          <rPr>
            <sz val="10"/>
            <color rgb="FF000000"/>
            <rFont val="Tahoma"/>
            <family val="2"/>
          </rPr>
          <t xml:space="preserve">Establecer el compromiso y dirección institucional de AE
</t>
        </r>
        <r>
          <rPr>
            <sz val="10"/>
            <color rgb="FF000000"/>
            <rFont val="Tahoma"/>
            <family val="2"/>
          </rPr>
          <t xml:space="preserve">
</t>
        </r>
        <r>
          <rPr>
            <b/>
            <sz val="10"/>
            <color rgb="FF000000"/>
            <rFont val="Tahoma"/>
            <family val="2"/>
          </rPr>
          <t xml:space="preserve">Etapa 2:
</t>
        </r>
        <r>
          <rPr>
            <sz val="10"/>
            <color rgb="FF000000"/>
            <rFont val="Tahoma"/>
            <family val="2"/>
          </rPr>
          <t xml:space="preserve">
</t>
        </r>
        <r>
          <rPr>
            <sz val="10"/>
            <color rgb="FF000000"/>
            <rFont val="Tahoma"/>
            <family val="2"/>
          </rPr>
          <t xml:space="preserve">Crear los Fundamentos de Gestión para el Desarrollo y el Uso de AE
</t>
        </r>
        <r>
          <rPr>
            <sz val="10"/>
            <color rgb="FF000000"/>
            <rFont val="Tahoma"/>
            <family val="2"/>
          </rPr>
          <t xml:space="preserve">
</t>
        </r>
        <r>
          <rPr>
            <b/>
            <sz val="10"/>
            <color rgb="FF000000"/>
            <rFont val="Tahoma"/>
            <family val="2"/>
          </rPr>
          <t xml:space="preserve">Etapa 3: 
</t>
        </r>
        <r>
          <rPr>
            <sz val="10"/>
            <color rgb="FF000000"/>
            <rFont val="Tahoma"/>
            <family val="2"/>
          </rPr>
          <t xml:space="preserve">
</t>
        </r>
        <r>
          <rPr>
            <sz val="10"/>
            <color rgb="FF000000"/>
            <rFont val="Tahoma"/>
            <family val="2"/>
          </rPr>
          <t>Desarrollar la versión inicial de AE</t>
        </r>
      </text>
    </comment>
    <comment ref="E17" authorId="0" shapeId="0" xr:uid="{25B4D0E1-932C-0444-9AA8-565F6646534B}">
      <text>
        <r>
          <rPr>
            <sz val="10"/>
            <color rgb="FF000000"/>
            <rFont val="Tahoma"/>
            <family val="2"/>
          </rPr>
          <t xml:space="preserve">Etapa 4
</t>
        </r>
        <r>
          <rPr>
            <sz val="10"/>
            <color rgb="FF000000"/>
            <rFont val="Tahoma"/>
            <family val="2"/>
          </rPr>
          <t>Finalizar y usar la versión inicial de AE para resultados específicos</t>
        </r>
      </text>
    </comment>
    <comment ref="F17" authorId="0" shapeId="0" xr:uid="{617EF0D2-199A-9944-B5AD-8E86DB349DDC}">
      <text>
        <r>
          <rPr>
            <b/>
            <sz val="10"/>
            <color rgb="FF000000"/>
            <rFont val="Tahoma"/>
            <family val="2"/>
          </rPr>
          <t xml:space="preserve">Etapa 5:
</t>
        </r>
        <r>
          <rPr>
            <sz val="10"/>
            <color rgb="FF000000"/>
            <rFont val="Tahoma"/>
            <family val="2"/>
          </rPr>
          <t xml:space="preserve">
</t>
        </r>
        <r>
          <rPr>
            <sz val="10"/>
            <color rgb="FF000000"/>
            <rFont val="Tahoma"/>
            <family val="2"/>
          </rPr>
          <t>Ampliar y evolucionar la AE y su uso para la transformación institucional</t>
        </r>
      </text>
    </comment>
    <comment ref="G17" authorId="0" shapeId="0" xr:uid="{4E05D319-CEB7-2D4B-8EB8-D36DFFB321C6}">
      <text>
        <r>
          <rPr>
            <b/>
            <sz val="10"/>
            <color rgb="FF000000"/>
            <rFont val="Tahoma"/>
            <family val="2"/>
          </rPr>
          <t xml:space="preserve">Etapa 6
</t>
        </r>
        <r>
          <rPr>
            <sz val="10"/>
            <color rgb="FF000000"/>
            <rFont val="Tahoma"/>
            <family val="2"/>
          </rPr>
          <t xml:space="preserve">
</t>
        </r>
        <r>
          <rPr>
            <sz val="10"/>
            <color rgb="FF000000"/>
            <rFont val="Tahoma"/>
            <family val="2"/>
          </rPr>
          <t xml:space="preserve">Mejoramiento continuo la AE y su uso para lograr la optimización institucional
</t>
        </r>
        <r>
          <rPr>
            <sz val="10"/>
            <color rgb="FF000000"/>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Alexandra Parra</author>
  </authors>
  <commentList>
    <comment ref="B5" authorId="0" shapeId="0" xr:uid="{73F62DE5-C7D7-8142-B05F-8F8806C72886}">
      <text>
        <r>
          <rPr>
            <sz val="10"/>
            <color rgb="FF000000"/>
            <rFont val="Tahoma"/>
            <family val="2"/>
          </rPr>
          <t xml:space="preserve">
</t>
        </r>
        <r>
          <rPr>
            <b/>
            <sz val="10"/>
            <color rgb="FF000000"/>
            <rFont val="Tahoma"/>
            <family val="2"/>
          </rPr>
          <t xml:space="preserve">Escala nivel de madurez CMMI
</t>
        </r>
        <r>
          <rPr>
            <sz val="10"/>
            <color rgb="FF000000"/>
            <rFont val="Tahoma"/>
            <family val="2"/>
          </rPr>
          <t xml:space="preserve">
</t>
        </r>
        <r>
          <rPr>
            <sz val="10"/>
            <color rgb="FF000000"/>
            <rFont val="Tahoma"/>
            <family val="2"/>
          </rPr>
          <t xml:space="preserve">1 Inicial
</t>
        </r>
        <r>
          <rPr>
            <sz val="10"/>
            <color rgb="FF000000"/>
            <rFont val="Tahoma"/>
            <family val="2"/>
          </rPr>
          <t xml:space="preserve">2 Repetible
</t>
        </r>
        <r>
          <rPr>
            <sz val="10"/>
            <color rgb="FF000000"/>
            <rFont val="Tahoma"/>
            <family val="2"/>
          </rPr>
          <t xml:space="preserve">3 Gestionado
</t>
        </r>
        <r>
          <rPr>
            <sz val="10"/>
            <color rgb="FF000000"/>
            <rFont val="Tahoma"/>
            <family val="2"/>
          </rPr>
          <t xml:space="preserve">4 Manejado
</t>
        </r>
        <r>
          <rPr>
            <sz val="10"/>
            <color rgb="FF000000"/>
            <rFont val="Tahoma"/>
            <family val="2"/>
          </rPr>
          <t>5 Optimizado</t>
        </r>
      </text>
    </comment>
    <comment ref="E5" authorId="0" shapeId="0" xr:uid="{E47AA561-64CB-5141-AF3E-00ED309376AE}">
      <text>
        <r>
          <rPr>
            <sz val="10.5"/>
            <color rgb="FF000000"/>
            <rFont val="Arial"/>
            <family val="34"/>
          </rPr>
          <t xml:space="preserve">
</t>
        </r>
        <r>
          <rPr>
            <b/>
            <sz val="10.5"/>
            <color rgb="FF000000"/>
            <rFont val="Arial"/>
            <family val="34"/>
          </rPr>
          <t xml:space="preserve">Asignación de puntaje.
</t>
        </r>
        <r>
          <rPr>
            <sz val="10.5"/>
            <color rgb="FF000000"/>
            <rFont val="Arial"/>
            <family val="34"/>
          </rPr>
          <t xml:space="preserve">
</t>
        </r>
        <r>
          <rPr>
            <sz val="10.5"/>
            <color rgb="FF000000"/>
            <rFont val="Arial"/>
            <family val="34"/>
          </rPr>
          <t xml:space="preserve">Cumple = 1 
</t>
        </r>
        <r>
          <rPr>
            <sz val="10.5"/>
            <color rgb="FF000000"/>
            <rFont val="Arial"/>
            <family val="34"/>
          </rPr>
          <t xml:space="preserve">
</t>
        </r>
        <r>
          <rPr>
            <sz val="10.5"/>
            <color rgb="FF000000"/>
            <rFont val="Arial"/>
            <family val="34"/>
          </rPr>
          <t xml:space="preserve">Acciones en ejecución para cumplir el elemento = 0,5
</t>
        </r>
        <r>
          <rPr>
            <sz val="10.5"/>
            <color rgb="FF000000"/>
            <rFont val="Arial"/>
            <family val="34"/>
          </rPr>
          <t xml:space="preserve">
</t>
        </r>
        <r>
          <rPr>
            <sz val="10.5"/>
            <color rgb="FF000000"/>
            <rFont val="Arial"/>
            <family val="34"/>
          </rPr>
          <t xml:space="preserve">No cumple = 0
</t>
        </r>
        <r>
          <rPr>
            <sz val="10"/>
            <color rgb="FF000000"/>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Alexandra Parra</author>
  </authors>
  <commentList>
    <comment ref="C5" authorId="0" shapeId="0" xr:uid="{E0654F4F-BA0E-3A4D-803B-223DE19020CA}">
      <text>
        <r>
          <rPr>
            <b/>
            <sz val="16"/>
            <color rgb="FF000000"/>
            <rFont val="Calibri"/>
            <family val="2"/>
          </rPr>
          <t>Asignación de puntaje.</t>
        </r>
        <r>
          <rPr>
            <sz val="9"/>
            <color rgb="FF000000"/>
            <rFont val="Calibri"/>
            <family val="2"/>
          </rPr>
          <t xml:space="preserve">
</t>
        </r>
        <r>
          <rPr>
            <sz val="16"/>
            <color rgb="FF000000"/>
            <rFont val="Calibri"/>
            <family val="2"/>
          </rPr>
          <t xml:space="preserve">Cumple = 1 </t>
        </r>
        <r>
          <rPr>
            <sz val="9"/>
            <color rgb="FF000000"/>
            <rFont val="Calibri"/>
            <family val="2"/>
          </rPr>
          <t xml:space="preserve">
</t>
        </r>
        <r>
          <rPr>
            <sz val="16"/>
            <color rgb="FF000000"/>
            <rFont val="Calibri"/>
            <family val="2"/>
          </rPr>
          <t>Acciones en ejecución para cumplir el elemento = 0,5</t>
        </r>
        <r>
          <rPr>
            <sz val="9"/>
            <color rgb="FF000000"/>
            <rFont val="Calibri"/>
            <family val="2"/>
          </rPr>
          <t xml:space="preserve">
</t>
        </r>
        <r>
          <rPr>
            <sz val="16"/>
            <color rgb="FF000000"/>
            <rFont val="Calibri"/>
            <family val="2"/>
          </rPr>
          <t>No cumple = 0</t>
        </r>
        <r>
          <rPr>
            <sz val="9"/>
            <color rgb="FF000000"/>
            <rFont val="Calibri"/>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Alexandra Parra</author>
  </authors>
  <commentList>
    <comment ref="E5" authorId="0" shapeId="0" xr:uid="{E6A8C278-FBC8-1D4F-ACEB-4C1F71A50AD7}">
      <text>
        <r>
          <rPr>
            <sz val="10"/>
            <color rgb="FF000000"/>
            <rFont val="Tahoma"/>
            <family val="2"/>
          </rPr>
          <t xml:space="preserve">
</t>
        </r>
        <r>
          <rPr>
            <b/>
            <sz val="10"/>
            <color rgb="FF000000"/>
            <rFont val="Tahoma"/>
            <family val="2"/>
          </rPr>
          <t xml:space="preserve">Escala nivel de madurez CMMI
</t>
        </r>
        <r>
          <rPr>
            <sz val="10"/>
            <color rgb="FF000000"/>
            <rFont val="Tahoma"/>
            <family val="2"/>
          </rPr>
          <t xml:space="preserve">
</t>
        </r>
        <r>
          <rPr>
            <sz val="10"/>
            <color rgb="FF000000"/>
            <rFont val="Tahoma"/>
            <family val="2"/>
          </rPr>
          <t xml:space="preserve">1 Inicial
</t>
        </r>
        <r>
          <rPr>
            <sz val="10"/>
            <color rgb="FF000000"/>
            <rFont val="Tahoma"/>
            <family val="2"/>
          </rPr>
          <t xml:space="preserve">2 Repetible
</t>
        </r>
        <r>
          <rPr>
            <sz val="10"/>
            <color rgb="FF000000"/>
            <rFont val="Tahoma"/>
            <family val="2"/>
          </rPr>
          <t xml:space="preserve">3 Gestionado
</t>
        </r>
        <r>
          <rPr>
            <sz val="10"/>
            <color rgb="FF000000"/>
            <rFont val="Tahoma"/>
            <family val="2"/>
          </rPr>
          <t xml:space="preserve">4 Manejado
</t>
        </r>
        <r>
          <rPr>
            <sz val="10"/>
            <color rgb="FF000000"/>
            <rFont val="Tahoma"/>
            <family val="2"/>
          </rPr>
          <t>5 Optimizado</t>
        </r>
      </text>
    </comment>
    <comment ref="G5" authorId="0" shapeId="0" xr:uid="{41BBFC61-CF08-ED40-A611-B935501D79DE}">
      <text>
        <r>
          <rPr>
            <sz val="10.5"/>
            <color rgb="FF000000"/>
            <rFont val="Arial"/>
            <family val="34"/>
          </rPr>
          <t xml:space="preserve">
</t>
        </r>
        <r>
          <rPr>
            <b/>
            <sz val="10.5"/>
            <color rgb="FF000000"/>
            <rFont val="Arial"/>
            <family val="34"/>
          </rPr>
          <t xml:space="preserve">Asignación de puntaje.
</t>
        </r>
        <r>
          <rPr>
            <sz val="10.5"/>
            <color rgb="FF000000"/>
            <rFont val="Arial"/>
            <family val="34"/>
          </rPr>
          <t xml:space="preserve">
</t>
        </r>
        <r>
          <rPr>
            <sz val="10.5"/>
            <color rgb="FF000000"/>
            <rFont val="Arial"/>
            <family val="34"/>
          </rPr>
          <t xml:space="preserve">Cumple = 1 
</t>
        </r>
        <r>
          <rPr>
            <sz val="10.5"/>
            <color rgb="FF000000"/>
            <rFont val="Arial"/>
            <family val="34"/>
          </rPr>
          <t xml:space="preserve">
</t>
        </r>
        <r>
          <rPr>
            <sz val="10.5"/>
            <color rgb="FF000000"/>
            <rFont val="Arial"/>
            <family val="34"/>
          </rPr>
          <t xml:space="preserve">Acciones en ejecución para cumplir el elemento = 0,5
</t>
        </r>
        <r>
          <rPr>
            <sz val="10.5"/>
            <color rgb="FF000000"/>
            <rFont val="Arial"/>
            <family val="34"/>
          </rPr>
          <t xml:space="preserve">
</t>
        </r>
        <r>
          <rPr>
            <sz val="10.5"/>
            <color rgb="FF000000"/>
            <rFont val="Arial"/>
            <family val="34"/>
          </rPr>
          <t xml:space="preserve">No cumple = 0
</t>
        </r>
        <r>
          <rPr>
            <sz val="10"/>
            <color rgb="FF000000"/>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Alexandra Parra</author>
  </authors>
  <commentList>
    <comment ref="F5" authorId="0" shapeId="0" xr:uid="{B1778E51-740C-4249-842B-74910CE632E2}">
      <text>
        <r>
          <rPr>
            <b/>
            <sz val="16"/>
            <color rgb="FF000000"/>
            <rFont val="Calibri"/>
            <family val="2"/>
          </rPr>
          <t xml:space="preserve">Asignación de puntaje
</t>
        </r>
        <r>
          <rPr>
            <b/>
            <sz val="16"/>
            <color rgb="FF000000"/>
            <rFont val="Calibri"/>
            <family val="2"/>
          </rPr>
          <t xml:space="preserve">
</t>
        </r>
        <r>
          <rPr>
            <b/>
            <sz val="18"/>
            <color rgb="FF000000"/>
            <rFont val="Calibri"/>
            <family val="2"/>
          </rPr>
          <t>1</t>
        </r>
        <r>
          <rPr>
            <sz val="14"/>
            <color rgb="FF000000"/>
            <rFont val="Calibri"/>
            <family val="2"/>
          </rPr>
          <t xml:space="preserve">:   Cumple, Lo tiene o lo hace
</t>
        </r>
        <r>
          <rPr>
            <b/>
            <sz val="14"/>
            <color rgb="FF000000"/>
            <rFont val="Calibri"/>
            <family val="2"/>
          </rPr>
          <t>0,5</t>
        </r>
        <r>
          <rPr>
            <sz val="14"/>
            <color rgb="FF000000"/>
            <rFont val="Calibri"/>
            <family val="2"/>
          </rPr>
          <t xml:space="preserve">:  </t>
        </r>
        <r>
          <rPr>
            <sz val="14"/>
            <color rgb="FF000000"/>
            <rFont val="Calibri"/>
            <family val="2"/>
            <scheme val="minor"/>
          </rPr>
          <t>Acciones en ejecución para cumplir el elemento</t>
        </r>
        <r>
          <rPr>
            <sz val="14"/>
            <color rgb="FF000000"/>
            <rFont val="Calibri"/>
            <family val="2"/>
            <scheme val="minor"/>
          </rPr>
          <t xml:space="preserve"> , </t>
        </r>
        <r>
          <rPr>
            <sz val="14"/>
            <color rgb="FF000000"/>
            <rFont val="Calibri"/>
            <family val="2"/>
          </rPr>
          <t xml:space="preserve">Lo está haciendo parcialmente
</t>
        </r>
        <r>
          <rPr>
            <b/>
            <sz val="14"/>
            <color rgb="FF000000"/>
            <rFont val="Calibri"/>
            <family val="2"/>
          </rPr>
          <t xml:space="preserve">0:  </t>
        </r>
        <r>
          <rPr>
            <sz val="14"/>
            <color rgb="FF000000"/>
            <rFont val="Calibri"/>
            <family val="2"/>
          </rPr>
          <t xml:space="preserve">No cumple: No lo tiene o no lo hace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Alexandra Parra</author>
  </authors>
  <commentList>
    <comment ref="E5" authorId="0" shapeId="0" xr:uid="{0168FB97-5375-DA49-B20C-D4D79587B2AD}">
      <text>
        <r>
          <rPr>
            <sz val="10.5"/>
            <color rgb="FF000000"/>
            <rFont val="Arial"/>
            <family val="34"/>
          </rPr>
          <t xml:space="preserve">
</t>
        </r>
        <r>
          <rPr>
            <b/>
            <sz val="10.5"/>
            <color rgb="FF000000"/>
            <rFont val="Arial"/>
            <family val="34"/>
          </rPr>
          <t xml:space="preserve">Asignación de puntaje.
</t>
        </r>
        <r>
          <rPr>
            <sz val="10.5"/>
            <color rgb="FF000000"/>
            <rFont val="Arial"/>
            <family val="34"/>
          </rPr>
          <t xml:space="preserve">
</t>
        </r>
        <r>
          <rPr>
            <sz val="10.5"/>
            <color rgb="FF000000"/>
            <rFont val="Arial"/>
            <family val="34"/>
          </rPr>
          <t xml:space="preserve">Cumple = 1 
</t>
        </r>
        <r>
          <rPr>
            <sz val="10.5"/>
            <color rgb="FF000000"/>
            <rFont val="Arial"/>
            <family val="34"/>
          </rPr>
          <t xml:space="preserve">
</t>
        </r>
        <r>
          <rPr>
            <sz val="10.5"/>
            <color rgb="FF000000"/>
            <rFont val="Arial"/>
            <family val="34"/>
          </rPr>
          <t xml:space="preserve">Acciones en ejecución para cumplir el elemento = 0,5
</t>
        </r>
        <r>
          <rPr>
            <sz val="10.5"/>
            <color rgb="FF000000"/>
            <rFont val="Arial"/>
            <family val="34"/>
          </rPr>
          <t xml:space="preserve">
</t>
        </r>
        <r>
          <rPr>
            <sz val="10.5"/>
            <color rgb="FF000000"/>
            <rFont val="Arial"/>
            <family val="34"/>
          </rPr>
          <t xml:space="preserve">No cumple = 0
</t>
        </r>
        <r>
          <rPr>
            <sz val="10"/>
            <color rgb="FF000000"/>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Alexandra Parra</author>
  </authors>
  <commentList>
    <comment ref="E5" authorId="0" shapeId="0" xr:uid="{EFE8BA16-8BDB-0240-AE0A-A657E7C7279D}">
      <text>
        <r>
          <rPr>
            <b/>
            <sz val="20"/>
            <color rgb="FF000000"/>
            <rFont val="Calibri"/>
            <family val="2"/>
          </rPr>
          <t xml:space="preserve">Asignación de puntaje
</t>
        </r>
        <r>
          <rPr>
            <b/>
            <sz val="14"/>
            <color rgb="FF000000"/>
            <rFont val="Calibri"/>
            <family val="2"/>
          </rPr>
          <t xml:space="preserve">
</t>
        </r>
        <r>
          <rPr>
            <b/>
            <sz val="16"/>
            <color rgb="FF000000"/>
            <rFont val="Calibri"/>
            <family val="2"/>
          </rPr>
          <t xml:space="preserve">1:  Inicial </t>
        </r>
        <r>
          <rPr>
            <sz val="16"/>
            <color rgb="FF000000"/>
            <rFont val="Calibri"/>
            <family val="2"/>
          </rPr>
          <t xml:space="preserve">: Poca o ausencia del proceso, el éxito depende de la competencia de las personas
</t>
        </r>
        <r>
          <rPr>
            <b/>
            <sz val="16"/>
            <color rgb="FF000000"/>
            <rFont val="Calibri"/>
            <family val="2"/>
          </rPr>
          <t xml:space="preserve">
</t>
        </r>
        <r>
          <rPr>
            <b/>
            <sz val="16"/>
            <color rgb="FF000000"/>
            <rFont val="Calibri"/>
            <family val="2"/>
          </rPr>
          <t xml:space="preserve">2:   Repetible: </t>
        </r>
        <r>
          <rPr>
            <sz val="16"/>
            <color rgb="FF000000"/>
            <rFont val="Calibri"/>
            <family val="2"/>
          </rPr>
          <t xml:space="preserve">disciplina mínima del proceso está en su lugar
</t>
        </r>
        <r>
          <rPr>
            <b/>
            <sz val="16"/>
            <color rgb="FF000000"/>
            <rFont val="Calibri"/>
            <family val="2"/>
          </rPr>
          <t xml:space="preserve">
</t>
        </r>
        <r>
          <rPr>
            <b/>
            <sz val="16"/>
            <color rgb="FF000000"/>
            <rFont val="Calibri"/>
            <family val="2"/>
          </rPr>
          <t xml:space="preserve">3:   Gestionado: </t>
        </r>
        <r>
          <rPr>
            <sz val="16"/>
            <color rgb="FF000000"/>
            <rFont val="Calibri"/>
            <family val="2"/>
          </rPr>
          <t xml:space="preserve">los procesos  se establecen y se usan
</t>
        </r>
        <r>
          <rPr>
            <b/>
            <sz val="16"/>
            <color rgb="FF000000"/>
            <rFont val="Calibri"/>
            <family val="2"/>
          </rPr>
          <t xml:space="preserve">
</t>
        </r>
        <r>
          <rPr>
            <b/>
            <sz val="16"/>
            <color rgb="FF000000"/>
            <rFont val="Calibri"/>
            <family val="2"/>
          </rPr>
          <t>4:   Manejado</t>
        </r>
        <r>
          <rPr>
            <sz val="16"/>
            <color rgb="FF000000"/>
            <rFont val="Calibri"/>
            <family val="2"/>
          </rPr>
          <t xml:space="preserve">: los procesos son cuantificados y controlados
</t>
        </r>
        <r>
          <rPr>
            <b/>
            <sz val="16"/>
            <color rgb="FF000000"/>
            <rFont val="Calibri"/>
            <family val="2"/>
          </rPr>
          <t xml:space="preserve">
</t>
        </r>
        <r>
          <rPr>
            <b/>
            <sz val="16"/>
            <color rgb="FF000000"/>
            <rFont val="Calibri"/>
            <family val="2"/>
          </rPr>
          <t xml:space="preserve">5:   Optimizado: </t>
        </r>
        <r>
          <rPr>
            <sz val="16"/>
            <color rgb="FF000000"/>
            <rFont val="Calibri"/>
            <family val="2"/>
          </rPr>
          <t>los objetivos de mejora de procesos se cuantifican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<sst xmlns="http://schemas.openxmlformats.org/spreadsheetml/2006/main" count="1445" uniqueCount="723">
  <si>
    <t>Objetivo</t>
  </si>
  <si>
    <t xml:space="preserve">El presente instrumento tiene como objetivo brindar una herramienta para el desarrollo de ejercicios de evaluación de la madurez integral en del desarrollo de la AE, la gestión y gobierno de TI y la gestión de los proyectos de TI, teniendo en cuenta como criterios de evaluación las definiciones contenidas en los tres modelos del Marco de Referencia de Arquitectura Empresarial del Estado. </t>
  </si>
  <si>
    <t>Alcance</t>
  </si>
  <si>
    <t>El instrumento para la evaluación de la madurez se compone de tres herramientas: 
                1.Evaluación de la madurez de Arquitectura Empresarial,
                2.Evaluación de la madure de Gestión y Gobierno de TI y 
                3.Evaluación de la madurez de Gestión de Proyectos de TI</t>
  </si>
  <si>
    <t>Tabla de Contenido</t>
  </si>
  <si>
    <t>Título</t>
  </si>
  <si>
    <t>Descripción</t>
  </si>
  <si>
    <t>Hoja</t>
  </si>
  <si>
    <t>Tipo</t>
  </si>
  <si>
    <t>Modelo de madurez</t>
  </si>
  <si>
    <t xml:space="preserve">Presenta las definiciones del modelo de madurez utilizado en el instrumento. Para cada Modelo del MRAE se ha definido una escala de madurez que aplica modelos de referencia internacionales con una elaboración propia de acuerdo a las características de cada modelo. </t>
  </si>
  <si>
    <t>Modelo de Madurez</t>
  </si>
  <si>
    <t>Marco conceptual</t>
  </si>
  <si>
    <t>Instrucciones MAE</t>
  </si>
  <si>
    <t>Contiene los pasos a seguir para realizar la evaluación de la madurez de la Arquitectura Empresarial.</t>
  </si>
  <si>
    <t xml:space="preserve">Instrucciones </t>
  </si>
  <si>
    <t>Contiene los pasos a seguir para realizar la evaluación de la madurez de la Gestión y Gobierno de TI</t>
  </si>
  <si>
    <t>Instrucciones MGGTI</t>
  </si>
  <si>
    <t>Contiene los pasos a seguir para realizar la evaluación de la madurez de la gestión de proyectos de TI</t>
  </si>
  <si>
    <t>Instrucciones MGPTI</t>
  </si>
  <si>
    <t>Consolidado de Evaluación de nivel de madurez MRAE</t>
  </si>
  <si>
    <t>Presenta la evaluación consolidado del nivel de madurez para los tres modelos: Arquitectura Empresarial, Gestión y Gobierno de TI, Gestión de Proyectos de TI</t>
  </si>
  <si>
    <t>0.MRAE</t>
  </si>
  <si>
    <t>Presentación de resultados</t>
  </si>
  <si>
    <t xml:space="preserve">Evaluación consolidada del Nivel de Madurez de AE y evaluación por dimensiones </t>
  </si>
  <si>
    <t>Presenta los resultados de la evaluación del nivel de madurez para la Arquitectura empresarial, y la evaluación por cada una de las dimensiones del instrumento.</t>
  </si>
  <si>
    <t>1.MAE</t>
  </si>
  <si>
    <t>Evaluación del nivel de madurez de la AE por atributos y elementos</t>
  </si>
  <si>
    <t xml:space="preserve">Presenta los resultados de la evaluación del nivel de madurez para la Arquitectura empresarial detallado por dimensión, atributos y elementos dentro de cada dimensión. </t>
  </si>
  <si>
    <t>1.1.Atributos MAE</t>
  </si>
  <si>
    <t>Presentación de puntajes por criterios</t>
  </si>
  <si>
    <t>Herramienta para la evaluación de los elementos de AE</t>
  </si>
  <si>
    <r>
      <t xml:space="preserve">Presenta los elementos o criterios a ser calificados. 
Ademas incluye campos editables para el diligenciamiento de la evaluación con las siguientes columnas : 
</t>
    </r>
    <r>
      <rPr>
        <b/>
        <sz val="12"/>
        <color theme="1"/>
        <rFont val="Calibri"/>
        <family val="2"/>
        <scheme val="minor"/>
      </rPr>
      <t>Puntaje</t>
    </r>
    <r>
      <rPr>
        <sz val="12"/>
        <color theme="1"/>
        <rFont val="Calibri"/>
        <family val="2"/>
        <scheme val="minor"/>
      </rPr>
      <t xml:space="preserve"> (Lista de selección) para asignar la calificación correspondiente;
</t>
    </r>
    <r>
      <rPr>
        <b/>
        <sz val="12"/>
        <color theme="1"/>
        <rFont val="Calibri"/>
        <family val="2"/>
        <scheme val="minor"/>
      </rPr>
      <t>Justificación</t>
    </r>
    <r>
      <rPr>
        <sz val="12"/>
        <color theme="1"/>
        <rFont val="Calibri"/>
        <family val="2"/>
        <scheme val="minor"/>
      </rPr>
      <t xml:space="preserve"> del puntaje otorgado; y
</t>
    </r>
    <r>
      <rPr>
        <b/>
        <sz val="12"/>
        <color theme="1"/>
        <rFont val="Calibri"/>
        <family val="2"/>
        <scheme val="minor"/>
      </rPr>
      <t xml:space="preserve">Evidencias </t>
    </r>
    <r>
      <rPr>
        <sz val="12"/>
        <color theme="1"/>
        <rFont val="Calibri"/>
        <family val="2"/>
        <scheme val="minor"/>
      </rPr>
      <t xml:space="preserve">asociadas
Nota: Estas columnas son las únicas que se deben modificar. 
</t>
    </r>
    <r>
      <rPr>
        <b/>
        <sz val="12"/>
        <color theme="1"/>
        <rFont val="Calibri"/>
        <family val="2"/>
        <scheme val="minor"/>
      </rPr>
      <t xml:space="preserve">
Asignación de puntaje:</t>
    </r>
    <r>
      <rPr>
        <sz val="12"/>
        <color theme="1"/>
        <rFont val="Calibri"/>
        <family val="2"/>
        <scheme val="minor"/>
      </rPr>
      <t xml:space="preserve">
1:   Cumple, lo tiene o lo hace
0,5:  Acciones en ejecución para cumplir el elemento , no esta completo o lo está haciendo parcialmente
0:  No cumple: No lo tiene, o no lo hace </t>
    </r>
  </si>
  <si>
    <t>1.2.Evaluación MAE</t>
  </si>
  <si>
    <t>Formato de ingreso de información.</t>
  </si>
  <si>
    <t xml:space="preserve">Evaluación consolidada del Nivel de Madurez de la Gestión y Gobierno de TI y evaluación por dimensiones </t>
  </si>
  <si>
    <t>Presenta los resultados de la evaluación del nivel de madurez para Gestión y Gobierno de TI y la evaluación por cada una de las dimensiones del instrumento.</t>
  </si>
  <si>
    <t>2.MGGTI</t>
  </si>
  <si>
    <t>Evaluación del nivel de madurez de la Gestión y Gobierno de TI por atributos y elementos</t>
  </si>
  <si>
    <t xml:space="preserve">Presenta los resultados de la evaluación del nivel de madurez para la Gestión y Gobierno de TI detallado por dimensión, atributos y elementos dentro de cada dimensión. </t>
  </si>
  <si>
    <t>2.1.Atributos MGGTI</t>
  </si>
  <si>
    <t>Herramienta para la evaluación de los elementos de Gestión y Gobierno de TI</t>
  </si>
  <si>
    <r>
      <t xml:space="preserve">Presenta los elementos o criterios a ser calificados. 
1:   Cumple, Lo tiene o lo hace
0,5:  Acciones en ejecución para cumplir el elemento , Lo está haciendo parcialmente
0:  No cumple: No lo tiene o no lo hace
Ademas incluye campos editables para el diligenciamiento de la evaluación con las siguientes columnas : 
</t>
    </r>
    <r>
      <rPr>
        <b/>
        <sz val="12"/>
        <color theme="1"/>
        <rFont val="Calibri"/>
        <family val="2"/>
        <scheme val="minor"/>
      </rPr>
      <t>Puntaje</t>
    </r>
    <r>
      <rPr>
        <sz val="12"/>
        <color theme="1"/>
        <rFont val="Calibri"/>
        <family val="2"/>
        <scheme val="minor"/>
      </rPr>
      <t xml:space="preserve"> (Lista de selección) para asignar la calificación correspondiente;
</t>
    </r>
    <r>
      <rPr>
        <b/>
        <sz val="12"/>
        <color theme="1"/>
        <rFont val="Calibri"/>
        <family val="2"/>
        <scheme val="minor"/>
      </rPr>
      <t>Justificación</t>
    </r>
    <r>
      <rPr>
        <sz val="12"/>
        <color theme="1"/>
        <rFont val="Calibri"/>
        <family val="2"/>
        <scheme val="minor"/>
      </rPr>
      <t xml:space="preserve"> del puntaje otorgado; y
</t>
    </r>
    <r>
      <rPr>
        <b/>
        <sz val="12"/>
        <color theme="1"/>
        <rFont val="Calibri"/>
        <family val="2"/>
        <scheme val="minor"/>
      </rPr>
      <t xml:space="preserve">Evidencias </t>
    </r>
    <r>
      <rPr>
        <sz val="12"/>
        <color theme="1"/>
        <rFont val="Calibri"/>
        <family val="2"/>
        <scheme val="minor"/>
      </rPr>
      <t xml:space="preserve">asociadas
Nota: Estas columnas son las únicas que se deben modificar. 
</t>
    </r>
    <r>
      <rPr>
        <b/>
        <sz val="12"/>
        <color theme="1"/>
        <rFont val="Calibri"/>
        <family val="2"/>
        <scheme val="minor"/>
      </rPr>
      <t>Asignación de puntaje:</t>
    </r>
    <r>
      <rPr>
        <sz val="12"/>
        <color theme="1"/>
        <rFont val="Calibri"/>
        <family val="2"/>
        <scheme val="minor"/>
      </rPr>
      <t xml:space="preserve">
1:   Cumple, lo tiene o lo hace
0,5:  Acciones en ejecución para cumplir el elemento , no esta completo o lo está haciendo parcialmente
0:  No cumple: No lo tiene, o no lo hace </t>
    </r>
  </si>
  <si>
    <t>2.2.Evaluación MGGTI</t>
  </si>
  <si>
    <t xml:space="preserve">Evaluación consolidada del Nivel de Madurez de la Gestión de Proyectos de TI y evaluación por dimensiones </t>
  </si>
  <si>
    <t>Presenta los resultados de la evaluación del nivel de madurez para la Gestión de Proyectos de TI y la evaluación por cada una de las dimensiones del instrumento.</t>
  </si>
  <si>
    <t>Evaluación del nivel de madurez de la Gestión de proyectos TI por atributos y elementos</t>
  </si>
  <si>
    <t xml:space="preserve">Presenta los resultados de la evaluación del nivel de madurez para la Gestión de Proyectos de TI detallado por dimensión, atributos y elementos dentro de cada dimensión. </t>
  </si>
  <si>
    <t>3.1.Atributos MGPTI</t>
  </si>
  <si>
    <t>Herramienta para la evaluación de los elementos de la Gestión de Proyectos de TI</t>
  </si>
  <si>
    <r>
      <t xml:space="preserve">Presenta los elementos o criterios a ser calificados. 
Ademas incluye campos editables para el diligenciamiento de la evaluación con las siguientes columnas : 
</t>
    </r>
    <r>
      <rPr>
        <b/>
        <sz val="12"/>
        <color theme="1"/>
        <rFont val="Calibri"/>
        <family val="2"/>
        <scheme val="minor"/>
      </rPr>
      <t>Puntaje</t>
    </r>
    <r>
      <rPr>
        <sz val="12"/>
        <color theme="1"/>
        <rFont val="Calibri"/>
        <family val="2"/>
        <scheme val="minor"/>
      </rPr>
      <t xml:space="preserve"> (Lista de selección) para asignar la calificación correspondiente;
</t>
    </r>
    <r>
      <rPr>
        <b/>
        <sz val="12"/>
        <color theme="1"/>
        <rFont val="Calibri"/>
        <family val="2"/>
        <scheme val="minor"/>
      </rPr>
      <t>Justificación</t>
    </r>
    <r>
      <rPr>
        <sz val="12"/>
        <color theme="1"/>
        <rFont val="Calibri"/>
        <family val="2"/>
        <scheme val="minor"/>
      </rPr>
      <t xml:space="preserve"> del puntaje otorgado; y
</t>
    </r>
    <r>
      <rPr>
        <b/>
        <sz val="12"/>
        <color theme="1"/>
        <rFont val="Calibri"/>
        <family val="2"/>
        <scheme val="minor"/>
      </rPr>
      <t xml:space="preserve">Evidencias </t>
    </r>
    <r>
      <rPr>
        <sz val="12"/>
        <color theme="1"/>
        <rFont val="Calibri"/>
        <family val="2"/>
        <scheme val="minor"/>
      </rPr>
      <t xml:space="preserve">asociadas
Nota: Estas columnas son las únicas que se deben modificar. 
</t>
    </r>
    <r>
      <rPr>
        <b/>
        <sz val="12"/>
        <color theme="1"/>
        <rFont val="Calibri"/>
        <family val="2"/>
        <scheme val="minor"/>
      </rPr>
      <t>Asignación de puntaje (Según CMMI)</t>
    </r>
    <r>
      <rPr>
        <sz val="12"/>
        <color theme="1"/>
        <rFont val="Calibri"/>
        <family val="2"/>
        <scheme val="minor"/>
      </rPr>
      <t xml:space="preserve">
1:  Inicial : Poca o ausencia del proceso, el éxito depende de la competencia de las personas
2:   Repetible: disciplina mínima del proceso está en su lugar
3:   Gestionado: los procesos  se establecen y se usan
4:   Manejado: los procesos son cuantificados y controlados
5:   Optimizado: los objetivos de mejora de procesos se cuantifican</t>
    </r>
  </si>
  <si>
    <t>3.2.Evaluación MGPTI</t>
  </si>
  <si>
    <t>Inicio</t>
  </si>
  <si>
    <r>
      <t xml:space="preserve">El modelo de madurez de la Arquitectura Empresarial es una elaboración propia con la integración de los elementos del Modelo de Madurez de GAO y la escala de madurez de CMMI.  GAO mide la madurez en 6 etapas y éstas, de acuerdo con los elementos y atributos que abordan,  son ubicadas en los 5 niveles de madurez de CMMI. 
Para organizar los elementos y criterios objeto de evaluación, se han definido cuatro </t>
    </r>
    <r>
      <rPr>
        <b/>
        <sz val="14"/>
        <color theme="1"/>
        <rFont val="Calibri"/>
        <family val="2"/>
        <scheme val="minor"/>
      </rPr>
      <t>"dimensiones":</t>
    </r>
    <r>
      <rPr>
        <sz val="14"/>
        <color theme="1"/>
        <rFont val="Calibri"/>
        <family val="2"/>
        <scheme val="minor"/>
      </rPr>
      <t xml:space="preserve"> Gestión de la AE, Definición e implementación de la AE, Capacidad de la AE y Habilitadores organizacionales.  En cada dimensión se agrupan los </t>
    </r>
    <r>
      <rPr>
        <b/>
        <sz val="14"/>
        <color theme="1"/>
        <rFont val="Calibri"/>
        <family val="2"/>
        <scheme val="minor"/>
      </rPr>
      <t>"elementos"</t>
    </r>
    <r>
      <rPr>
        <sz val="14"/>
        <color theme="1"/>
        <rFont val="Calibri"/>
        <family val="2"/>
        <scheme val="minor"/>
      </rPr>
      <t xml:space="preserve"> de evaluación en </t>
    </r>
    <r>
      <rPr>
        <b/>
        <sz val="14"/>
        <color theme="1"/>
        <rFont val="Calibri"/>
        <family val="2"/>
        <scheme val="minor"/>
      </rPr>
      <t>"atributos"</t>
    </r>
    <r>
      <rPr>
        <sz val="14"/>
        <color theme="1"/>
        <rFont val="Calibri"/>
        <family val="2"/>
        <scheme val="minor"/>
      </rPr>
      <t xml:space="preserve"> que caracterizan procedimientos o capacidades relacionadas con las temáticas de la dimensión. Por ejemplo: en la dimensión de "Capacidad de AE", todos los elementos relacionados con las actividades y capacidades para determinar la efectividad de los resultados de la AE, se agrupan en el atributo "Resultados".
Los </t>
    </r>
    <r>
      <rPr>
        <b/>
        <sz val="14"/>
        <color theme="1"/>
        <rFont val="Calibri"/>
        <family val="2"/>
        <scheme val="minor"/>
      </rPr>
      <t xml:space="preserve">elementos y criterios </t>
    </r>
    <r>
      <rPr>
        <sz val="14"/>
        <color theme="1"/>
        <rFont val="Calibri"/>
        <family val="2"/>
        <scheme val="minor"/>
      </rPr>
      <t xml:space="preserve">de evaluación por cada atributo se relacionan en el instrumento 1.2 Evaluación MAE y 1.1 Atributos MAE
La siguiente tabla describe las dimensiones y los atributos correspondientes. Esta información es clave para comprender la estructura conceptual del modelo: 	</t>
    </r>
  </si>
  <si>
    <t>Link a las instrucciones</t>
  </si>
  <si>
    <t>Dimensión</t>
  </si>
  <si>
    <t>Atributos</t>
  </si>
  <si>
    <t>Gestión de la AE</t>
  </si>
  <si>
    <t>Demuestra compromiso</t>
  </si>
  <si>
    <t>Proporciona capacidad para cumplir compromiso</t>
  </si>
  <si>
    <t>Demuestra cumplimiento de compromiso</t>
  </si>
  <si>
    <t>Verifica cumplimiento del compromiso</t>
  </si>
  <si>
    <t>Agrupa atributos teniendo en cuenta las funciones requeridadas para garantizar la gestión de todo el ciclo de vida de la AE</t>
  </si>
  <si>
    <t>Esfuerzos y actividades para demostrar un compromiso en toda la organización para ejecutar la función, iniciativa o programa, por ejemplo, estableciendo politicas, proporcionando recursos e involucrando a los lideres de la organización.</t>
  </si>
  <si>
    <t>Esfuerzos y actividades para poner en práctica la capacidad (personas, procesos y herramientas)  necesaria para ejecutar la función, iniciativa o programa.</t>
  </si>
  <si>
    <t>Productos, resultados y salidas que demuestran que se esta llevando a cabo la función, iniciativa o programa.</t>
  </si>
  <si>
    <t>Esfuerzos y actividades para verificar por medio de medición cualitativa y cuantitativa que se ha ejecutado la función, iniciativa o programa satisfactoriamente.</t>
  </si>
  <si>
    <t>Definición e implementacion AE</t>
  </si>
  <si>
    <t>Gobierno</t>
  </si>
  <si>
    <t>Contenido</t>
  </si>
  <si>
    <t>Uso</t>
  </si>
  <si>
    <t>Medición</t>
  </si>
  <si>
    <t xml:space="preserve">
Agrupa atributos teniendo en cuenta funciones requeridas para la definición e implementación de la AE</t>
  </si>
  <si>
    <t>Contiene los elementos que proveen los medios para gestionar el desarrollo de AE en la entidad</t>
  </si>
  <si>
    <t>Contiene los elementos que permiten definir la estructura de los artefactos de AE,  asi como la forma en que estos artefactos se completan, mantienen y se hacen accesibles.</t>
  </si>
  <si>
    <t>Contiene los  elementos que proporciona la implementación real de la AE y la trata como un marco de referencia autorizado para la transformación, modernizacion y toma de decisiones de inversión.</t>
  </si>
  <si>
    <t>Agrupa los elementos para  verificar la calidad de los productos y procesos de AE,  y asegurar que los resultados de la AE sean alcanzados.</t>
  </si>
  <si>
    <t>Capacidad de AE</t>
  </si>
  <si>
    <t>Terminación</t>
  </si>
  <si>
    <t>Resultados</t>
  </si>
  <si>
    <t xml:space="preserve">
Agrupa atributos teniendo en cuenta funciones requeridas para instaurar la capacidad de AE</t>
  </si>
  <si>
    <t xml:space="preserve">Indicador de versiones de AE desarrolladas/definidas
Medida en que una entidad ha desarrollado los ejercicios de AE en todos sus dominios, asi como la hoja de ruta para llegar a la situación objetivo. </t>
  </si>
  <si>
    <t>Indicador de definición de practicas para desarrollar, mantener y supervisar la AE
Medida en que la entidad ha establecido  practicas, procesos y politicas de gestión clave, necesarias para desarrolar, mantener y supervisar su AE  y para demostrar tanto la importancia de la conciencia de arquitectura como el valor de emplear practicas de arquitectura; también evalúa el grado en que la entidad hace uso de su arquitectura en la planificación estratégica, planificación de la mejora en la eficiencia institucional, gestión de los activos de información, gestión de TI y los procesos de gestión financiera.</t>
  </si>
  <si>
    <t>Mediciones para determinar efectividad de la AE
Grado en que la entidad esta midiendo la efectividad y valor de las actividades de arquitectura por medio de la medición del  desempeño de la AE y de los procesos relacionados, y del reporte de resultados que demuestran  el exito de la AE.</t>
  </si>
  <si>
    <t>Habilitadores organizacionales</t>
  </si>
  <si>
    <t>Liderazgo</t>
  </si>
  <si>
    <t>Personas</t>
  </si>
  <si>
    <t>Procesos</t>
  </si>
  <si>
    <t>Herramientas</t>
  </si>
  <si>
    <t>Agrupa atributos teniendo en cuenta los recursos necesarios para desarrollar el ciclo de vida de la AE.</t>
  </si>
  <si>
    <t>Esfuerzos y actividades para asignar a la alta dirección de la entidad responsabilidades en el desarrollo de la AE de la entidad, incluyendo las acciones coordinadas entre estos, para guiar, dirigir, supervisar y demostrar su poder individual y coletivo dentro de este proceso.</t>
  </si>
  <si>
    <t>Esfuerzos y actividades para asegurar que el desarrollo de la AE en la entidad tiene suficiente capital humano, incluyendo aquellos con el conocimiento, destreza y habilidades necesarias.</t>
  </si>
  <si>
    <t>Planes, politicas y procedimientos que gobiernan como las personas deben ejecutar el proceso de AE. Esta dimensión organizacional tambien incluye los resultados/salidas de estos planes, politicas y procedimientos, tal como el contenido de AE.</t>
  </si>
  <si>
    <t>Marcos (Frameworks), metodologias y herramientas analiticas y de repositorio utilizadas para apoyar a las personas en la ejecución de los procesos.</t>
  </si>
  <si>
    <r>
      <t xml:space="preserve">El modelo de madurez de Gestión y Gobierno de TI es una elaboración propia con la integración de los elementos del Modelo de Madurez de Gartner (ITScore Strategy and execution) y la escala de madurez de CMMI. 
Para organizar los elementos y criterios objeto de evaluación, se han definido seis </t>
    </r>
    <r>
      <rPr>
        <b/>
        <sz val="14"/>
        <color theme="1"/>
        <rFont val="Calibri"/>
        <family val="2"/>
        <scheme val="minor"/>
      </rPr>
      <t xml:space="preserve">"dimensiones" </t>
    </r>
    <r>
      <rPr>
        <sz val="14"/>
        <color theme="1"/>
        <rFont val="Calibri"/>
        <family val="2"/>
        <scheme val="minor"/>
      </rPr>
      <t xml:space="preserve">que corresponden a los dominios del MGGTI: Estrategia de TI, Gobierno de TI, Gestión de Información, Gestión de Sistemas de Información, Gestión de servicios de TI, y Uso y Apropiación.  En cada dimensión se agrupan los </t>
    </r>
    <r>
      <rPr>
        <b/>
        <sz val="14"/>
        <color theme="1"/>
        <rFont val="Calibri"/>
        <family val="2"/>
        <scheme val="minor"/>
      </rPr>
      <t>"elementos"</t>
    </r>
    <r>
      <rPr>
        <sz val="14"/>
        <color theme="1"/>
        <rFont val="Calibri"/>
        <family val="2"/>
        <scheme val="minor"/>
      </rPr>
      <t xml:space="preserve"> de evaluación en </t>
    </r>
    <r>
      <rPr>
        <b/>
        <sz val="14"/>
        <color theme="1"/>
        <rFont val="Calibri"/>
        <family val="2"/>
        <scheme val="minor"/>
      </rPr>
      <t>"atributos"</t>
    </r>
    <r>
      <rPr>
        <sz val="14"/>
        <color theme="1"/>
        <rFont val="Calibri"/>
        <family val="2"/>
        <scheme val="minor"/>
      </rPr>
      <t xml:space="preserve"> que caracterizan procedimientos o capacidades relacionadas con las temáticas de la dimensión. Por ejemplo: en la dimensión de "Gestión de Sistemas de Información", todos los elementos relacionados con las actividades y capacidades para determinar el nivel de desarrollo de mecanismos estandarizados para el aseguramiento de la calidad de los sistemas de información, se agrupan en el atributo "Calidad".
</t>
    </r>
    <r>
      <rPr>
        <b/>
        <sz val="14"/>
        <color theme="1"/>
        <rFont val="Calibri"/>
        <family val="2"/>
        <scheme val="minor"/>
      </rPr>
      <t>Los elementos y criterios</t>
    </r>
    <r>
      <rPr>
        <sz val="14"/>
        <color theme="1"/>
        <rFont val="Calibri"/>
        <family val="2"/>
        <scheme val="minor"/>
      </rPr>
      <t xml:space="preserve"> de evaluación por cada atributo se relacionan en el instrumento 2.2 Evaluación MGGTI y 2.1 Atributos MGGTI
La siguiente tabla describe las dimensiones y los atributos correspondientes. Esta información es clave para comprender la estructura conceptual del modelo: 	</t>
    </r>
  </si>
  <si>
    <t>Estrategia de TI</t>
  </si>
  <si>
    <t>Alineación estratégica</t>
  </si>
  <si>
    <t>Definición e implementación de la estrategia</t>
  </si>
  <si>
    <t>Portafolio de proyectos de TI</t>
  </si>
  <si>
    <t>Innovación</t>
  </si>
  <si>
    <t>Seguimiento y resultados de la estrategia</t>
  </si>
  <si>
    <t xml:space="preserve">Agrupa atributos teniendo en cuenta las funciones y características requeridas para asegurar que la gestión de TI contribuye a la estrategia y fortalecimiento institucional desde la definición e implementación de la estrategia de TI. </t>
  </si>
  <si>
    <t xml:space="preserve">Esfuerzos y actividades para demostrar que en la definición de la estrategia de TI y sus planes de implementación, se realiza a partir de los motivadores estratégicos de entidad (Direccionamiento y Planeación institucional, modelo integrado de gestión y planeación, etc) </t>
  </si>
  <si>
    <t>Esfuerzos y actividades para definir y mantener actualizada la estrategia de TI y su plan de implementación en función de las necesidades de la estrategia y modelo de gestión institucional.</t>
  </si>
  <si>
    <t>Esfuerzos y actividades para desarrollar el portafolio de proyectos que permiten llevar a la práctica la estrategia de TI y para asegurar la articulación con otros  ejercicios de planeación que establecen el desarrollo de iniciativas con componente de TI.</t>
  </si>
  <si>
    <t xml:space="preserve">Esfuerzos y actividades que demuestran prácticas de incorporación innovacciones técnológicas en la definición e implementación de la estrategia de TI. </t>
  </si>
  <si>
    <t xml:space="preserve">Esfuerzos y actividades para realizar seguimiento y verificar por medio de medición cualitativa y cuantitativa el desempeño de la implementación de la estrategia de TI y de los procesos asociados a la gestión de TI, así como la medición del nivel de efectividad en sus resultados. </t>
  </si>
  <si>
    <t>Gobierno de TI</t>
  </si>
  <si>
    <t>Definición e implementación de Procesos de TI</t>
  </si>
  <si>
    <t>Alineación de procesos</t>
  </si>
  <si>
    <t>Estructura de TI y Esquema de gobierno</t>
  </si>
  <si>
    <t>Adquisiciones, proyectos y proveedores</t>
  </si>
  <si>
    <t>Seguimiento, evaluación y control</t>
  </si>
  <si>
    <t>Agrupa atributos teniendo en cuenta las funciones y características requeridas para asegurar los recursos y procesos requeridos para implementar la estrategia de TI y  gestionar las capacidades y servicios de TI en la entidad.</t>
  </si>
  <si>
    <t>Esfuerzos y actividades en la definición e implementación de modelo de gestion de TI de la entidad a traves de la definición de la cadena de valor de la gestión de TI y sus procesos.</t>
  </si>
  <si>
    <t xml:space="preserve">Contiene los elementos que permiten establecer el nivel de apoyo tecnológico a los procesos del modelo de gestión de la entidad. </t>
  </si>
  <si>
    <t xml:space="preserve">Contiene los elementos que permiten establecer los recursos humanos necesarios para desarrollar la gestion de TI, los órganos para la toma de decisiones y el nivel liderazgo de la gestión de TI para lograr las transformaciones en la entidad. </t>
  </si>
  <si>
    <t>Esfuerzos y actividades para gestionar las adquisiciones de bienes y servicios de TI y la gestión de proyectos y proveedores que se derivan de las mismas.</t>
  </si>
  <si>
    <t>Esfuerzos y actividades para realizar seguimiento y verificar por medio de medición cualitativa y cuantitativa el desempeño de los procesos asociados a la gestión de TI.</t>
  </si>
  <si>
    <t>Gestión de Información</t>
  </si>
  <si>
    <t>Gestión del Ciclo de vida y gobierno de la Información</t>
  </si>
  <si>
    <t>Gestión de los tipos de datos</t>
  </si>
  <si>
    <t>Calidad</t>
  </si>
  <si>
    <t>Uso y aprovechamiento</t>
  </si>
  <si>
    <t>Agrupa atributos teniendo en cuenta las funciones y características requeridas para gestionar la información de la entidad con el apoyo de las Tecnologías de la Información.</t>
  </si>
  <si>
    <t xml:space="preserve">Esfuerzos y actividades en la implementación de los procesos dentro de la gestión de TI para habilitar con tecnología la gestión el ciclo de vida de la información en la entidad </t>
  </si>
  <si>
    <t>Esfuerzos y actividades en la  implementación de los procedimientos para gestionar los datos según su tipología (Datos maestros, Metadados, datos abiertos)</t>
  </si>
  <si>
    <t xml:space="preserve">Esfuerzos y actividades en la  implementación de los procedimientos para realizar control y aseguramiento de la calidad de la información durante su ciclo de vida. </t>
  </si>
  <si>
    <t xml:space="preserve">Esfuerzos y actividades para proveer capacidades y servicios que faciliten el uso y aprovechamiento de la información de la entidad. Así como para impulsar su uso en la toma de decisiones. </t>
  </si>
  <si>
    <t>Gestion de Sistemas de información</t>
  </si>
  <si>
    <t>Gestión del ciclo de vida de los SI</t>
  </si>
  <si>
    <t>Planeación, analisis y diseño</t>
  </si>
  <si>
    <t>Desarrollar y mantener</t>
  </si>
  <si>
    <t>Agrupa atributos teniendo en cuenta las funciones y características requeridas para gestionar los sistemas de información e la entidad en todo su ciclo de vida</t>
  </si>
  <si>
    <t>Esfuerzos y actividades en la implementación de los procesos dentro de la gestión de TI para gestionar el ciclo de vida de los sistemas de información de la entidad.</t>
  </si>
  <si>
    <t>Esfuerzos y actividades en la  implementación de los procedimientos que orientan la planeación, analisis y diseño de los sistemas de información  teniendo en cuenta las definiciones de la estrategia de TI y  los acuerdos de desarrollo generados con las partes interesadas.</t>
  </si>
  <si>
    <t xml:space="preserve">Esfuerzos y actividades en la  implementación de los procedimientos que orientan las actividades de desarrollo y mantenimiento de los componentes de software a partir de los cuales se construyen y evolucionan los sistemas de información y aplicaciones de software de la entidad. </t>
  </si>
  <si>
    <t>Esfuerzos y actividades en la  implementación de los procedimientos para realizar control y aseguramiento de la calidad de los sistemas de información</t>
  </si>
  <si>
    <t>Gestion de Servicios de TI</t>
  </si>
  <si>
    <t>Proceso de Gestión los Servicios de TI</t>
  </si>
  <si>
    <t>Garantía del servicio</t>
  </si>
  <si>
    <t>Entrega y soporte de servicios</t>
  </si>
  <si>
    <t>Producción</t>
  </si>
  <si>
    <t>Agrupa atributos teniendo en cuenta las funciones y características requeridas para gestionar los servicios de TI que habilitan los sistemas de información, la información y capacidades tecnológicas.</t>
  </si>
  <si>
    <t xml:space="preserve">Esfuerzos y actividades en la implementación de los procesos dentro de la gestión de TI para gestionar la infraestructura tecnológica y los servicios soportados. </t>
  </si>
  <si>
    <t xml:space="preserve">Esfuerzos y actividades en la implementación de los procedimientos dentro de la gestión de servicios de TI para suministrar las capacidades de infraestructura tecnológica requeridas para garantizar la operación segura y de calidad de los servicios de TI de la entidad. </t>
  </si>
  <si>
    <t xml:space="preserve">Esfuerzos y actividades en la implementación de los procedimientos dentro de la gestión de servicios de TI para gestionar la entrega de los servicios de TI a los grupos de interés y gestionar los servicios de atención de solicitudes  e incidentes.  </t>
  </si>
  <si>
    <t xml:space="preserve">Esfuerzos y actividades en la implementación de los procedimientos dentro de la gestión de servicios de TI para gestionar  la gestión de los cambios y la gestión de los pasos a producción  de los servicios de TI. </t>
  </si>
  <si>
    <t>Uso y Apropiación de TI</t>
  </si>
  <si>
    <t>Estrategia de Uso y Apropiación</t>
  </si>
  <si>
    <t>Acciones de uso y apropiación</t>
  </si>
  <si>
    <t>Seguimiento y evaluación</t>
  </si>
  <si>
    <t xml:space="preserve">Agrupa atributos teniendo en cuenta las funciones y características requeridas desarrollar acciones para impulsar la adopción y uso de las facilidades y servicios de TI dispuestos a los diferentes grupos de interés y con ello contribuir a la gestión del cambio organizacional. </t>
  </si>
  <si>
    <t>Esfuerzos y actividades en la definición de una estrategia de uso y apropiación de TI que se encuentra alineada a las definiciones de la estrategia de TI y el modelo de gestión de TI de la entidad.</t>
  </si>
  <si>
    <t>Esfuerzos y actividades en la implementación de las acciones establecidas en la estrategia de uso y apropiación</t>
  </si>
  <si>
    <t>Esfuerzos y actividades en el seguimiento de  la implementación de la estrategia de uso y apropiación. Incluye la medición del uso y satisfacción sobre los servicios de TI.</t>
  </si>
  <si>
    <r>
      <t xml:space="preserve">El modelo de madurez de la gestión de proyectos de TI, es una elaboración propia con la integración del modelo de madurez OPM3  y la escala de niveles de madurez de CMMI. 
Para organizar los elementos y criterios objeto de evaluación, se han definido cuatro </t>
    </r>
    <r>
      <rPr>
        <b/>
        <sz val="14"/>
        <color theme="1"/>
        <rFont val="Calibri"/>
        <family val="2"/>
        <scheme val="minor"/>
      </rPr>
      <t>"dimensiones"</t>
    </r>
    <r>
      <rPr>
        <sz val="14"/>
        <color theme="1"/>
        <rFont val="Calibri"/>
        <family val="2"/>
        <scheme val="minor"/>
      </rPr>
      <t xml:space="preserve"> que corresponden a los cuatro dominios del MGPTI: Contexto estratégico, Planeación, Ejecución y Control y  Cierre y Operación. En cada dimensión se agrupan los </t>
    </r>
    <r>
      <rPr>
        <b/>
        <sz val="14"/>
        <color theme="1"/>
        <rFont val="Calibri"/>
        <family val="2"/>
        <scheme val="minor"/>
      </rPr>
      <t>"elementos"</t>
    </r>
    <r>
      <rPr>
        <sz val="14"/>
        <color theme="1"/>
        <rFont val="Calibri"/>
        <family val="2"/>
        <scheme val="minor"/>
      </rPr>
      <t xml:space="preserve"> de evaluación en </t>
    </r>
    <r>
      <rPr>
        <b/>
        <sz val="14"/>
        <color theme="1"/>
        <rFont val="Calibri"/>
        <family val="2"/>
        <scheme val="minor"/>
      </rPr>
      <t>"atributos"</t>
    </r>
    <r>
      <rPr>
        <sz val="14"/>
        <color theme="1"/>
        <rFont val="Calibri"/>
        <family val="2"/>
        <scheme val="minor"/>
      </rPr>
      <t xml:space="preserve"> que caracterizan procedimientos o capacidades relacionadas con las temáticas de la dimensión. Por ejemplo: en la dimensión de "Contexto Estratégico", todos los elementos relacionados con los motivadores estratégicos se agrupan en el atributo "Motivadores".
Los </t>
    </r>
    <r>
      <rPr>
        <b/>
        <sz val="14"/>
        <color theme="1"/>
        <rFont val="Calibri"/>
        <family val="2"/>
        <scheme val="minor"/>
      </rPr>
      <t>elementos y criterios</t>
    </r>
    <r>
      <rPr>
        <sz val="14"/>
        <color theme="1"/>
        <rFont val="Calibri"/>
        <family val="2"/>
        <scheme val="minor"/>
      </rPr>
      <t xml:space="preserve"> de evaluación por cada atributo se relacionan en el instrumento 2.2 Evaluación MGGTI y 2.1 Atributos MGPTI.
La siguiente tabla describe las dimensiones y los atributos correspondientes. Esta información es clave para comprender la estructura conceptual del modelo: </t>
    </r>
  </si>
  <si>
    <t>Contexto estratégico</t>
  </si>
  <si>
    <t>Motivadores</t>
  </si>
  <si>
    <t>Capacidad y gobierno</t>
  </si>
  <si>
    <t>Enfoque del ciclo de vida del proyecto</t>
  </si>
  <si>
    <t xml:space="preserve">Agrupa atributos teniendo en cuenta las funciones y características requeridas para asegurar que los proyectos de TI a gestionar incorporan un marco legal y estratégico. Además incluye la definición del enfoque de gestión con las acciones preliminares y de inicio dentro del ciclo de vida de los proyectos. </t>
  </si>
  <si>
    <t>Contiene  las actividades para incorporar el marco legal y estratégico de los proyecto.</t>
  </si>
  <si>
    <t>Esfuerzos y actividades en la definición e implementación de modelo de gestion de proyectos de TI de la entidad a través de la definición de la cadena de valor de la gestión de proyectos de TI y sus procesos.</t>
  </si>
  <si>
    <t xml:space="preserve">Actividades y esfuerzos para la definición del enfoque que se le dará a la gestión del proyecto de TI en las defiiciones preliminares y de inicio dentro del ciclo de vida de los proyectos. </t>
  </si>
  <si>
    <t>Planeación</t>
  </si>
  <si>
    <t>Interesados</t>
  </si>
  <si>
    <t>Alcance y desarrollo del ciclo de vida del proyecto</t>
  </si>
  <si>
    <t>Recursos</t>
  </si>
  <si>
    <t>Riesgos</t>
  </si>
  <si>
    <t xml:space="preserve">Agrupa atributos teniendo en cuenta las funciones y características requeridas para asegurar que los proyectos de TI desarrollan debidamente la etapa de planeación de proyecto o fase. </t>
  </si>
  <si>
    <t>Esfuerzos y actividades en la definición e implementación del procedimiento de gestión de interesados y las actividades de planeación de la gestión de interesados.</t>
  </si>
  <si>
    <t>Esfuerzos y actividades en la definición e implementación de los procedimientos de gestión del ciclo de vida del proyecto en las actividades de planeación integral del proyecto, del alcance, del cronograma, y de las comunicaciones.</t>
  </si>
  <si>
    <t>Esfuerzos y actividades en la definición e implementación de los procedimientos relacionados con la gestión de los recursos requeridos para desarrollar y gestionar el proyecto de TI y las actividades de planeación de estos recursos.</t>
  </si>
  <si>
    <t xml:space="preserve">Esfuerzos y actividades en la definición e implementación de los procedimientos relacionados con la gestión de calidad y las actividades de definición de los atributos y plan de calidad. </t>
  </si>
  <si>
    <t xml:space="preserve">Esfuerzos y actividades en la definición e implementación de los procedimientos relacionados con la gestión de riesgos y las actividades de identificación y análisis de riesgos. </t>
  </si>
  <si>
    <t>Ejecución y control</t>
  </si>
  <si>
    <t>Entrega y desarrollo del ciclo de vida del proyecto</t>
  </si>
  <si>
    <t>Agrupa atributos teniendo en cuenta las funciones y características requeridas para asegurar que los proyectos de TI se ejecuten de acuerdo a lo planeado, con los recursos necesarios, manejando los riesgos , las incertidubres  y los cambios,  y asegurando la entrega oportuna con productos de calidad.</t>
  </si>
  <si>
    <t>Esfuerzos y actividades en la definición e implementación del procedimiento de gestión de interesados y las actividades de involucramiento y atención a necesidades de los interesados.</t>
  </si>
  <si>
    <t xml:space="preserve">Esfuerzos y actividades en la definición e implementación de los procedimientos de gestión del ciclo de vida del proyecto en las actividades de ejecución,seguimiento y control . </t>
  </si>
  <si>
    <t xml:space="preserve">Esfuerzos y actividades en la definición e implementación de los procedimientos relacionados con la gestión de los recursos requeridos para desarrollar y gestionar el proyecto de TI y las actividades de gestión del talento humano, gestión financiera y de costos del proyecto y gestión de las adquisiciones. </t>
  </si>
  <si>
    <t>Esfuerzos y actividades en la definición e implementación de los procedimientos relacionados con la gestión de calidad y las actividades de control y aseguramiento de la calidad.</t>
  </si>
  <si>
    <t>Esfuerzos y actividades en la definición e implementación de los procedimientos relacionados con la gestión de riesgos y las actividades seguimiento a los riesgos e implementación de la respuesta a los riesgos.</t>
  </si>
  <si>
    <t>Cierre y operación</t>
  </si>
  <si>
    <t>Cierre del ciclo de vida del proyecto</t>
  </si>
  <si>
    <t>Agrupa atributos teniendo en cuenta las funciones y características requeridas para asegurar el cierre satisfactorio de los proyectos de TI.</t>
  </si>
  <si>
    <t xml:space="preserve">Esfuerzos y actividades en el cierre del proyecto: cierre administrativo del proyecto o fase, cierre contractual, cierre financiero </t>
  </si>
  <si>
    <t xml:space="preserve">Esfuerzos y actividades en el cierre de la gestión financiera y liberación de recursos humanos asignados al proyecto. </t>
  </si>
  <si>
    <t>Esfuerzos y actividades en la evaluación de los resultados del proyecto en términos de los fines propuestos una vez se encuentran en operación los productos y servicios generados.</t>
  </si>
  <si>
    <t xml:space="preserve">
</t>
  </si>
  <si>
    <t>MRAE</t>
  </si>
  <si>
    <t>Puntaje</t>
  </si>
  <si>
    <t>Inicial</t>
  </si>
  <si>
    <t>Repetible</t>
  </si>
  <si>
    <t>Gestionado</t>
  </si>
  <si>
    <t>Manejado</t>
  </si>
  <si>
    <t>Optimizado</t>
  </si>
  <si>
    <t>Arquitectura Empresarial</t>
  </si>
  <si>
    <t>Gestión y Gobierno de TI</t>
  </si>
  <si>
    <t>Gestion de Proyectos de TI</t>
  </si>
  <si>
    <r>
      <rPr>
        <b/>
        <sz val="12"/>
        <color theme="1"/>
        <rFont val="Calibri"/>
        <family val="2"/>
        <scheme val="minor"/>
      </rPr>
      <t>Generación de resultado consolidado de la Madurez</t>
    </r>
    <r>
      <rPr>
        <sz val="12"/>
        <color theme="1"/>
        <rFont val="Calibri"/>
        <family val="2"/>
        <scheme val="minor"/>
      </rPr>
      <t xml:space="preserve">
Los resultados de la evaluación de la madurez para los 3 Modelos: Arquitectura Empresarial, Gestión y Gobierno de TI y Gestión de Proyectos de TI, se presentan en la anterior tabla de datos, con la ubicación de los puntajes obtenidos en cada modelo en la escala que corresponde;  y en la gráfica que presenta la ubicación de cada puntaje para generar una la visualización comparativa del estado de desarrollo de los modelos.
Los datos presentados se actualizan con el diligenciamiento del instrumento. No se debe realizar ninguna acción sobre esta hoja. </t>
    </r>
  </si>
  <si>
    <t xml:space="preserve">El puntaje en el recuadro rosado representa una aproximación del nivel de madurez de los tres modelos. Un ejemplo para su interpretación sería: si el puntaje es 2,47, significa que estando entre dos y tres, su ubicación en la escala de madurez sería 3- Gestionado. </t>
  </si>
  <si>
    <t xml:space="preserve">Evaluación consolidada del Nivel de Madurez de AE y por dimensiones 
</t>
  </si>
  <si>
    <t>Definición e implementación de la AE</t>
  </si>
  <si>
    <t>1. Gestión de la AE</t>
  </si>
  <si>
    <t>Demuestra cumplimiento del compromiso</t>
  </si>
  <si>
    <t>2. Definición e 
implementación de AE</t>
  </si>
  <si>
    <t xml:space="preserve">Uso </t>
  </si>
  <si>
    <t xml:space="preserve">Medición </t>
  </si>
  <si>
    <t>3. Capacidad AE</t>
  </si>
  <si>
    <t xml:space="preserve">Terminación </t>
  </si>
  <si>
    <t>3. Habilitadores organizacionales</t>
  </si>
  <si>
    <t xml:space="preserve">Herramientas </t>
  </si>
  <si>
    <t xml:space="preserve">Capacidad de AE </t>
  </si>
  <si>
    <t>Id Elemento</t>
  </si>
  <si>
    <t>Nivel de Madurez</t>
  </si>
  <si>
    <t>Etapa (Gao)</t>
  </si>
  <si>
    <t>Elementos</t>
  </si>
  <si>
    <t>Proporciona capacidad cumplir compromiso</t>
  </si>
  <si>
    <t xml:space="preserve">Resultados </t>
  </si>
  <si>
    <t>Etapa 0</t>
  </si>
  <si>
    <t>(0)Existen planes para desarrollar la AE o estan en proceso de construcción.</t>
  </si>
  <si>
    <t>Etapa 1</t>
  </si>
  <si>
    <t>(1) Existe una política institucional aprobada para el desarrollo, mantenimiento y uso de AE</t>
  </si>
  <si>
    <t>(2) Existe comité ejecutivo u órgano para la toma de decisiones de AE que represente a la entidad y sea responsable para AE</t>
  </si>
  <si>
    <t>(3) El comité ejecutivo, u órgano para la toma de decisiones de AE esta ejecutando acciones proactivas para afrontar las barreras culturales de AE</t>
  </si>
  <si>
    <t>(4) El comité ejecutivo u órgano para la toma de decisiones de AE tiene entrenamiento en principios , conceptos de AE y MRAE</t>
  </si>
  <si>
    <t xml:space="preserve">(5) Existe arquitecto empresarial líder </t>
  </si>
  <si>
    <t>(6) El proposito de la AE esta claramente definido</t>
  </si>
  <si>
    <t>(7) Marco de Referencia de Arquitectura Empresarial MRAE adoptado y articulado con otros frameworks</t>
  </si>
  <si>
    <t>(8) Proceso de AE con responsabilidades y mecanismos de seguimiento y control definidos.</t>
  </si>
  <si>
    <t>Etapa 2</t>
  </si>
  <si>
    <t>(9) Necesidades presupuestales de AE se encuentran justificadas y asignadas/reservadas</t>
  </si>
  <si>
    <t>(10) Existe en la entidad una estructura organizacional para el desarrollo y gestión de la AE: una oficina, grupo de trabajo o responsable.</t>
  </si>
  <si>
    <t>(11) Posiciones o roles clave para el gobierno y liderazgo en el desarrollo de la AE de la entidad asignados.</t>
  </si>
  <si>
    <t xml:space="preserve">(12) Existe plan de capital humano de la estructura organizacional de la AE </t>
  </si>
  <si>
    <t>(13) Existe metodologia de desarrollo y mantenimiento de AE</t>
  </si>
  <si>
    <t xml:space="preserve">(14) Existen herramientas digitales para la gestión del repositorio de AE </t>
  </si>
  <si>
    <t>(15) Plan de gestión de la AE existe y esta articulado con otras disciplinas de la gestión institucional</t>
  </si>
  <si>
    <t xml:space="preserve">(16) Existe estructura de descomposición del trabajo (WBS) y programación para desarrollar los ejercicios de AE </t>
  </si>
  <si>
    <t>(17) Se han identificado y priorizado los ejercicios de AE que permiten desarrollar la AE de la entidad</t>
  </si>
  <si>
    <t>(18) Nivel de preparación de la estructura organizacional de AE medido y reportado.</t>
  </si>
  <si>
    <t>Etapa 3</t>
  </si>
  <si>
    <t>(19) Alta dirección de la entidad y representantes de los directivos estan involucrados activamente en el desarrollo de la arquitectura</t>
  </si>
  <si>
    <t>(20) Planes de capital humano de AE implementados</t>
  </si>
  <si>
    <t>(21) El plan de capital humano de la estrucutura organizacional de AE incluye contratación de terceros o profesionales contratistas</t>
  </si>
  <si>
    <t>(22) Personal de la estructura organizacional de AE entrenado en el framework, metodologia y herramientas de AE</t>
  </si>
  <si>
    <t>(23) Existen metodologias y herramientas para determinar el seguimiento a la inversión</t>
  </si>
  <si>
    <t>(24) Existen metodologias y herramientas para determinar que la arquitectura de la entidad se encuentre alineada con la AE de sus adscritas o con las entidades del sector o territorio que lidera</t>
  </si>
  <si>
    <t>(25) Riesgos relacionados con la AE identificados, reportados y mitigados</t>
  </si>
  <si>
    <t>(26) Versiones iniciales de  AE "as-is" y "to-be" y plan de transición estan siendo desarrollados.</t>
  </si>
  <si>
    <t>(27) Version inicial de la AE de la entidad donde se describa a la organización en terminos de cada dominio de la arquitectura (Institucional, Información, Sistemas de información, Tecnología y Seguridad) está siendo desarrollada.</t>
  </si>
  <si>
    <t>(28) Se estan desarrollando uno o más ejercicios de AE en la entidad</t>
  </si>
  <si>
    <t>(29) Los productos de arquitectura se estan desarrollando de acuerdo al framework de contenido de AE</t>
  </si>
  <si>
    <t>(30) Los productos de arquitectura se estan desarrollando de acuerdo a la metodología de AE definida.</t>
  </si>
  <si>
    <t>(31) Se estan utilizando herramientas de AE  para desarrollar los productos de arquitectura</t>
  </si>
  <si>
    <t>(32) El progreso en el desarrollo de la arquitectura es medido y reportado.</t>
  </si>
  <si>
    <t>Etapa 4</t>
  </si>
  <si>
    <t>(33) El comité ejecutivo, u órgano para la toma de decisiones de AE, ha aprobado la versión inicial de la AE corporativa</t>
  </si>
  <si>
    <t>(34) Las partes interesadadas (stakeholders) clave han aprobado la versión actual del ejercicio de AE de su interés.</t>
  </si>
  <si>
    <t>(35) El desarrollo de AE en la entidad se articula con otras funciones y procesos del modelo de gestión institucional para garantizar la integralidad de cada ejercicio de AE</t>
  </si>
  <si>
    <t>(36) Se satisfacen las necesidades de capital humano de la estructura organizacional de AE</t>
  </si>
  <si>
    <t>(37) Versiones iniciales de la AE "as-is" y "to-be" de la entidad  y hoja de ruta existen</t>
  </si>
  <si>
    <t>(38) En la versión inicial de la AE de la entidad se incluyen las vistas de los dominios de la AE (Institucional, Información, Sistemas de información, Tecnología y Seguridad)</t>
  </si>
  <si>
    <t>(39) Existen una o más ejercicios de AE  y estan siendo implementados</t>
  </si>
  <si>
    <t>(40) Calidad del producto de AE es medido y reportado</t>
  </si>
  <si>
    <t>(41) Los resultados y salidas de la AE son medidos y reportados</t>
  </si>
  <si>
    <t>(42) El seguimiento a la  inversión de los ejercicios de AE es medido y reportado</t>
  </si>
  <si>
    <t>(43) La alineación de la AE de la entidad con sus adscritas o con las de entidades del sector o territorio que lidera es medida y reportada.</t>
  </si>
  <si>
    <t>Etapa 5</t>
  </si>
  <si>
    <t xml:space="preserve">(44) La alta dirección de la entidad  ha aprobado la versión actual de la AE de la entidad, de sus adscritas o del sector o terrorio que lidera. </t>
  </si>
  <si>
    <t>(45) Los directivos de la entidad han aprobado la versión actual de los ejercicios de AE correspondientes o relacionados con la función institucional que desempeñan.</t>
  </si>
  <si>
    <t>(46) Herramientas integradas del repositorio y metodologia y framework comun de EA se utilizan en toda la entidad</t>
  </si>
  <si>
    <t xml:space="preserve">(47) Existe una articulación entre las áreas responsables de AE a nivel sectorial o territorial: aúnan esfuezos, comparten recursos u operan de manera coordinada. </t>
  </si>
  <si>
    <t>(48) AE de la Entidad y hoja de ruta tienen alcance en toda la entidad o, en sus entidades adscritas, del sector o territorio que lidera</t>
  </si>
  <si>
    <t>(49) AE de la entidad y hoja de ruta se encuentra articulada con las arquitecturas de la entidades adscritas, del sector o territorio  que lidera.</t>
  </si>
  <si>
    <t>(50) Todos los ejercicios de AE existen y estan totalmente integrados</t>
  </si>
  <si>
    <t>(51) Existe alineación con las arquitecturas de la Entidades subordinadas . Aplica en el caso donde la entidad depende de otra para cumplir su misión.</t>
  </si>
  <si>
    <t>(52) La gestión de procesos y productos de AE son objeto de auditorias de control interno y externas a la entidad.</t>
  </si>
  <si>
    <t>Etapa 6</t>
  </si>
  <si>
    <t>(53) Las decisiones tomadas en la AE son utilizadas por la alta dirección de la entidad para sean insumo en el direccionamiento estratégico y planeación institucional.</t>
  </si>
  <si>
    <t>(54) Las competencias de capital humano de AE se encuentran en continua mejora</t>
  </si>
  <si>
    <t xml:space="preserve">(55) Herramientas y metodologias de AE son mejoradas continuamente </t>
  </si>
  <si>
    <t>(56) La gestión de procesos de AE son mejoradas continuamente y reflejan los resultados de las evaluaciones y auditorias internas y externas realizadas.</t>
  </si>
  <si>
    <t>(57) Productos de AE se encuentran en constante mejora y actualización</t>
  </si>
  <si>
    <t>(58) Los metodos de medición de resultados y calidad de AE son mejorados continuamente</t>
  </si>
  <si>
    <t>(59) Los esfuerzos de mejora continua de la AE reflejan los resultados de las evaluaciones externas.</t>
  </si>
  <si>
    <t>Instrumento para la evaluación de los criterios de AE</t>
  </si>
  <si>
    <t>Soporte a la evaluación</t>
  </si>
  <si>
    <t>Justificación</t>
  </si>
  <si>
    <t>Evidencias</t>
  </si>
  <si>
    <t>La entidad se encuentra en un proceso de contratación para iniciar el desarrollo de su primer ejercicio de AE</t>
  </si>
  <si>
    <t>Concurso de Meritos No.00x</t>
  </si>
  <si>
    <t>Gestión de TI</t>
  </si>
  <si>
    <t>Funcional</t>
  </si>
  <si>
    <t>Habilitador</t>
  </si>
  <si>
    <t>Contributivo</t>
  </si>
  <si>
    <t>Diferenciador</t>
  </si>
  <si>
    <t>Transformador</t>
  </si>
  <si>
    <t>Gestión de información</t>
  </si>
  <si>
    <t>Gestión de Sistemas de información</t>
  </si>
  <si>
    <t>Gestión de servicios de Tecnología</t>
  </si>
  <si>
    <t>Uso y Apropiación</t>
  </si>
  <si>
    <t>GOBIERNO DE TI</t>
  </si>
  <si>
    <t>GESTIÓN DE INFORMACIÓN</t>
  </si>
  <si>
    <t xml:space="preserve">Gestión del Ciclo de vida y gobierno de la Información
</t>
  </si>
  <si>
    <t>GESTIÓN DE SISTEMAS DE INFORMACIÓN</t>
  </si>
  <si>
    <t>GESTIÓN DE SERVICIOS TI</t>
  </si>
  <si>
    <t>USO Y APROPIACION TI</t>
  </si>
  <si>
    <t>ESTRATEGIA DE TI</t>
  </si>
  <si>
    <t>GESTIÓN DE SERVICIOS DE TI</t>
  </si>
  <si>
    <t>USO Y APROPIACION DE TI</t>
  </si>
  <si>
    <t>Id criterio</t>
  </si>
  <si>
    <t>Elemento</t>
  </si>
  <si>
    <t>Criterio</t>
  </si>
  <si>
    <t xml:space="preserve">Dominio </t>
  </si>
  <si>
    <t>Nivel inicial</t>
  </si>
  <si>
    <t>Existe un área que cumple las funciones de la gestión de TI</t>
  </si>
  <si>
    <t>Todos</t>
  </si>
  <si>
    <t>Alineación y entendimiento estratégico</t>
  </si>
  <si>
    <t xml:space="preserve">La estrategia de TI direcciona la gestión de TI en la entidad para dar soporte a la operación de los servicios de TI </t>
  </si>
  <si>
    <t>La estrategia de TI direcciona la gestión de TI para habilitar servicios que están alineados y contribuyen a las necesidades del modelo de gestión de la entidad y al logro de los objetivos de la estrategia institucional</t>
  </si>
  <si>
    <t>La estrategia de TI direcciona la gestión de TI para contribuir con la generación de valor público y que su liderazgo sea reconocido por la entidad</t>
  </si>
  <si>
    <t>La estrategia de TI direcciona la gestión de TI para aportar enfoques innovadores  en la generación capacidades para el fortalecimiento institucional y de valor público.</t>
  </si>
  <si>
    <t>Documentación de la estrategia de TI</t>
  </si>
  <si>
    <t>El Estrategia de TI existe y se encuentra documentada en el Plan Estratégico de Tecnologías de la Información (PETI).</t>
  </si>
  <si>
    <t>Existe un procedimiento o mecanismo para mantener actualizado El Plan Estratégico de Tecnologías de la Información (PETI)  ante los cambios de la estrategia, planeación y modelo institucional</t>
  </si>
  <si>
    <t>Catálogo de servicios de TI</t>
  </si>
  <si>
    <t>Existe un catálogo de servicios de TI con definición de ANS (Acuerdos de Niveles de Servicio) que se actualiza periodícamente y se comunica a las partes interesadas internas y externas a la entidad</t>
  </si>
  <si>
    <t>Portafolio de proyectos de TI y hoja de ruta</t>
  </si>
  <si>
    <t>Los proyectos de TI se formulan con un  plan de acción</t>
  </si>
  <si>
    <t>El Plan Estratégico de TI incluye la definición del portafolio de proyectos estratégicos de TI y la hoja de ruta para implementar la estrategia definida.</t>
  </si>
  <si>
    <t xml:space="preserve">El portafolio de proyectos estratégicos de TI se actualiza permanentemente ante las nuevas necesidades de la estrategia institucional </t>
  </si>
  <si>
    <t>El portafolio de proyectos estratégicos de TI articula todas la iniciativas con componente de TI en la entidad (Arquitectura Empresarial, Plan de Tranformación Digital y proyectos institucionales)</t>
  </si>
  <si>
    <t>Políticas y lineamientos</t>
  </si>
  <si>
    <t>Hay una definición básica de las políticas o lineamientos de TI sobre la infraestructura tecnológica y el acceso y uso de los recursos tecnológicos.</t>
  </si>
  <si>
    <t xml:space="preserve">Existen políticas de TI sobre todos los servicios digitales y capacidades de TI, están articuladas con las políticas de la entidad, y son aprobadas por la alta dirección. </t>
  </si>
  <si>
    <t xml:space="preserve">Existe un mecanismo o proceso sistemático para  hacer actualización, seguimiento, control y evaluación a la implementación de políticas de TI. </t>
  </si>
  <si>
    <t>Se hace mejoramiento continuo sobre las políticas y lineamientos de TI, y sus actualizaciones son divulgadas en la entidad.</t>
  </si>
  <si>
    <t>Comunicación y divulgación</t>
  </si>
  <si>
    <t>Existe una estrategia y plan de comunicaciones para dar a conocer la Estrategia, políticas, lineamientos y servicios de TI</t>
  </si>
  <si>
    <t>Implementa el plan de comunicaciones para divulgar la estrategia, políticas, lineamientos y servicios  de TI a las partes interesadas</t>
  </si>
  <si>
    <t>Existe un mecanismo para mantener y actualizar  el plan de comunicaciones de acuerdo con las actualizaciones y evolución de la estrategia, las políticas, lineamientos  y servicios de TI.</t>
  </si>
  <si>
    <t>Se hace mejora continua a la estrategia y plan de comunicaciones. Las comunicaciones contribuyen al logro de las metas de la gestión de TI</t>
  </si>
  <si>
    <t xml:space="preserve">Indicadores de seguimiento </t>
  </si>
  <si>
    <t>Los indicadores para el monitoreo y evaluación de la implementación de la estrategia de TI y de la gestión de TI se encuentran definidos</t>
  </si>
  <si>
    <t>Estrategia de TI/Gobierno de TI</t>
  </si>
  <si>
    <t>Utiliza tableros de control y  realiza la medición  de los indicadores de monitoreo y evaluación de la implementación de la estrategia de TI y de la gestión de TI</t>
  </si>
  <si>
    <t>Se realiza el seguimiento y control  de los indicadores de monitoreo y evaluación de la implementación de la estrategia de TI y de la gestión de TI</t>
  </si>
  <si>
    <t>Formula, en caso de ser necesario, acciones de mejora a partir de la medición de indicadores de monitoreo y evaluación de implementación de la estrategia de TI y de la gestión de TI</t>
  </si>
  <si>
    <t>Planeación y seguimiento financiero</t>
  </si>
  <si>
    <t>Las necesidades presupuestales para la implementación de la estrategia de TI y de la gestión de TI se encuentran planeadas, justificadas y asignadas/reservadas</t>
  </si>
  <si>
    <t>Existen herramientas y metodologias definidas para la planeación y seguimiento presupuestal de las inversiones en TI</t>
  </si>
  <si>
    <t>Realiza periódicamente seguimiento y control a la ejecución del presupuesto de TI y plan de adquisiciones asociados al portafolio de proyectos de TI y a la gestión de TI</t>
  </si>
  <si>
    <t>Resultados de la estrategia</t>
  </si>
  <si>
    <t>El avance en la implementación de la estrategia de TI es medido y reportado</t>
  </si>
  <si>
    <t>Los resultados y salidas de la implementación de la estrategia son medidos y reportados</t>
  </si>
  <si>
    <t>Evalua y reporta el retorno de la inversión de TI teniendo en cuenta los resultados y  transformaciones obtenidas</t>
  </si>
  <si>
    <t>Articulación con la AE</t>
  </si>
  <si>
    <t>La gestión de TI implementa y gestiona las soluciones de TI derivadas de la definición de la Arquitectura empresarial de la Entidad</t>
  </si>
  <si>
    <t>La gestión de TI participa en la definición de las iniciativas con componente de TI que hacen parte de la hoja de ruta de la Arquitectura empresarial de la Entidad</t>
  </si>
  <si>
    <t>El plan Estratégico de TI y su portafolio de proyectos se encuentra articulado con las iniciativas de TI incluidas en la hoja de ruta de la AE  de la entidad</t>
  </si>
  <si>
    <t xml:space="preserve">Articulación con el Plan de Transformación Digital </t>
  </si>
  <si>
    <t>La gestión de TI implementa y gestiona la soluciones de TI de las iniciativas derivadas de la definición del Plan de Transformación Digital de la Entidad</t>
  </si>
  <si>
    <t>La gestión de TI participa en la definición de las iniciativas con componente de TI derivados de la definición del Plan de Transformación Digital de la entidad</t>
  </si>
  <si>
    <t>El plan Estratégico de TI y su portafolio de proyectos se encuentra articulado con las iniciativas de TI incluidas en la hoja de ruta del plan de transformación digital de la entidad</t>
  </si>
  <si>
    <t>Articulación con proyectos institucionales</t>
  </si>
  <si>
    <t>La gestión de TI implementa y gestiona las soluciones de TI derivadas de los proyectos institucionales con componente de TI</t>
  </si>
  <si>
    <t xml:space="preserve">La gestión de TI participa en la definición de las iniciativas con componente de TI que hacen parte de los proyectos institucionales. </t>
  </si>
  <si>
    <t xml:space="preserve">En la selección de tecnologías se identifican y evaluan oportunidades de incorporacion de innovaciones  tecnológicas. </t>
  </si>
  <si>
    <t>Existe un mecanismo  o procedimiento formal para identificar y evaluar oportunidades de incorporación de innovaciones tecnológicas desde la etapa de planeación de la Estrategia de TI</t>
  </si>
  <si>
    <t>Las capacidades tecnológicas se implementan a partir del desarrollo de iniciativas resultado de la identificación y evaluación sistemática de oportunidades de innovación.</t>
  </si>
  <si>
    <t>Macroproceso de gestión de TI</t>
  </si>
  <si>
    <t>El macroproceso de gestión de TI se encuentra definido, hace parte del Modelo Intregado de Planeación y Gestión de la Entidad.</t>
  </si>
  <si>
    <t>El macroproceso para gestión de TI es implementado, esta alineado con el Modelo de Gestiión y Gobierno de TI del Marco de Referencia de Arquitectura empresarial del Estado.</t>
  </si>
  <si>
    <t>Se realiza seguimiento y evaluación a la implementación del macroproceso para gestion deTI de acuerdo con los lineamientos de Modelo integrado de Gestión de la entidad</t>
  </si>
  <si>
    <t xml:space="preserve">Se hace mejora continua del macroproceso para la gestión de TI y aplica mejores prácticas de la industria. </t>
  </si>
  <si>
    <t>No conformidades de las auditorias</t>
  </si>
  <si>
    <t>Desde la gestión de TI se definen e implementan  acciones de mejoramiento sobre el macroproceso para gestión de TI según los lineamientos del modelo integrado de gestión</t>
  </si>
  <si>
    <t>Desde la gestión de TI se definen e incorpora dentro del  plan de acción de TI, acciones que permitan corregir, mejorar y controlar el macroproceso para gestión de TI y que se encuentren dentro de la lista de no conformidades generada en el marco de las auditorias de control interno y externo.</t>
  </si>
  <si>
    <t>Desde la gestión de TI se definen e incorporan dentro del  plan estratégico de TI, acciones que permitan corregir, mejorar y controlar el macroproces para gestión de TI que se encuentren dentro de la lista de no conformidades generada en el marco de las auditorias de control interno y externo.</t>
  </si>
  <si>
    <t>Estructura de TI</t>
  </si>
  <si>
    <t>Existen recursos humanos con roles y responsabilidades para la operar y dar soporte los servicios de TI</t>
  </si>
  <si>
    <t xml:space="preserve">Existe una estructura organizacional de TI con capacidad para gestionar los procesos y servicios de la gestión de TI. </t>
  </si>
  <si>
    <t xml:space="preserve">Existe una estructura organizacional de TI trabajando por unidades de negocio bajo un mismo esquema de gobierno de TI y con la capacidad para desarrollar la estrategia y gestionar los procesos y proyectos de TI. </t>
  </si>
  <si>
    <t>Las capacidades de TI habilitan procesos de apoyo administrativo de los procesos del modelo integrado de gestión de la entidad</t>
  </si>
  <si>
    <t>Las capacidades de TI habilitan procesos de Direccionamiento estratégico y misionales del modelo integrado de gestión de la entidad.</t>
  </si>
  <si>
    <t>Las capacidades de TI habilitan y contribuyen al mejoramiento de todos los procesos del modelo integrado de Planeación y  gestión de la entidad</t>
  </si>
  <si>
    <t>Desde la gestión de TI se realiza la habilitación, operación, soporte y mantenimiento de las capacidades y servicios de TI de la entidad.</t>
  </si>
  <si>
    <t xml:space="preserve">Desde la gestión de TI se lidera la concepción, desarrollo y gestión de capacidades de TI de acuerdo con las definiciones de la estrategia de TI. </t>
  </si>
  <si>
    <t>Desde la gestión de TI de la entidad se lidera o gobierna de manera integral la concepción, planeación y desarrollo de las iniciativas  que conducen al desarrollo de capacidades y servicios de TI, así como su gestión una vez son habilitadas.</t>
  </si>
  <si>
    <t>El liderazgo de la gestión de TI es reconocido en toda la entidad  y es un factor de transformación y fortalecimiento institucional.</t>
  </si>
  <si>
    <t>Gestión de la demanda</t>
  </si>
  <si>
    <t>La planeación, recolección de necesidades y definición de requerimientos para el desarrollo de servicios y capacidades de TI se realiza a nivel técnico, a partir de las solicitudes  generadas por las diferentes áreas de la entidad, a través de reuniones técnicas y/o de los mecanismos de soporte y atención al usuario.</t>
  </si>
  <si>
    <t>La planeación, recolección de necesidades y definición de requerimientos para el desarrollo de servicios y capacidades de TI se realiza a nivel ejecutivo mediante un mecanismo o procedimiento formal a para el establecimiento de Acuerdos de desarrollo de servicios de TI entre TI y las partes interesadas de la entidad.</t>
  </si>
  <si>
    <t>El mecanismo o procedimiento para el establecimiento de acuerdos de desarrollo de servicios y capacidades de TI se utiliza de manera periódica y sistemática, de tal manera que se asegura articulación  con las definiciones de la estrategia y planeación de TI.</t>
  </si>
  <si>
    <t>Instancias de decisión</t>
  </si>
  <si>
    <t>Desde la gestión de TI de la entidad se han establecido instancias para el seguimiento y toma de decisiones a nivel interno de este proceso (Reuniones de coordinación a nivel de área de TI, de grupo de trabajo TI, etc)</t>
  </si>
  <si>
    <t xml:space="preserve">Desde la gestión de TI de la entidad se han establecido instancias para la de toma de decisiones  y articulación de esfuerzos con otras procesos de la entidad. </t>
  </si>
  <si>
    <t xml:space="preserve">La dirección de la gestión de TI o sus representantes participan activamente en la instancias directivas de la entidad para asegurar la alineación estratégica permanente. </t>
  </si>
  <si>
    <t>La dirección de la gestión de TI o sus representantes participan activamente en instancias directivas externas a la entidad para la articulación de esfuezos y sinergias en el desarrollo de las capacidades y servicios de TI</t>
  </si>
  <si>
    <t>Adquisiciones de TI</t>
  </si>
  <si>
    <t xml:space="preserve">Existe un mecanismo o procedimiento definido para evaluar y seleccionar las alternativas de solución de TI a implementar previo a realizar la inversión o compra. </t>
  </si>
  <si>
    <t>Utiliza mecanismos de agregación de demanda o acuerdos marco de precio para la contratación de bienes y servicios de TI</t>
  </si>
  <si>
    <t xml:space="preserve">En los contratos de bienes y servicios de TI se incluyen los ANS de servicio que garantizan la prestación de acuerdo con los atributos de calidad definidos por la entidad. </t>
  </si>
  <si>
    <t>Gestión de proveedores</t>
  </si>
  <si>
    <t>La gestión de proveedores se realiza según el proceso de gestión contractual de la entidad y se tiene un esquema de gestión complementario para orientar la ejecución y seguimiento al desarrollo de las actividades contempladas en el alcance de los contratos, aplicando el Modelo de Gestión de proyectos de TI y mejores prácticas de gestión de proyectos.</t>
  </si>
  <si>
    <t>Gestión de proyectos</t>
  </si>
  <si>
    <t xml:space="preserve">Aplica una metodología de gestión de proyectos para la gestión integral de los proyectos de TI. </t>
  </si>
  <si>
    <t>Aplica el Modelo de Gestión de Proyectos de TI del MRAE en la definición e implementación de la metodología integral de gestión de proyectos.</t>
  </si>
  <si>
    <t>Derechos de autor</t>
  </si>
  <si>
    <t xml:space="preserve">Incorpora dentro de los contratos para la adquicisión de bienes y servicios de TI, las cláusulas con los términos en materia de derechos de autor que apliquen según la figura de contratación utilizada. </t>
  </si>
  <si>
    <t>Cuenta con un mecanismo o procedimiento estándarizado para definir las específicaciones de los derechos y requisitos legales en materia de los derechos de autor e incorporarlos en los contratos de adquisición de bienes y servicios de TI</t>
  </si>
  <si>
    <t>Gobierno de la información</t>
  </si>
  <si>
    <t>Se ha definido e implementado un esquema de gobierno de información para facilitar la gestión de la información en todo su ciclo de vida y está compuesto por: el proceso para gestión del ciclo de vida de la información, los roles y responsabilidades y las instancias de decisión.</t>
  </si>
  <si>
    <t>Gestión del ciclo de vida de la información</t>
  </si>
  <si>
    <t xml:space="preserve">Se ha definido e implementado el proceso para la gestión del ciclo de vida de la información en cual se orientan el desarrollo de las actividades de planeación, recolección, validación, analisis, explotación, entre otras, de los datos y la información. </t>
  </si>
  <si>
    <t>Se realiza seguimiento y evaluación al proceso para la gestión del ciclo de vida de la información</t>
  </si>
  <si>
    <t xml:space="preserve">Se realiza mejora continua sobre el proceso para la gestión del ciclo de vida de la información </t>
  </si>
  <si>
    <t>Calidad de los datos</t>
  </si>
  <si>
    <t xml:space="preserve">Tiene definido una estrategia de gestión de la calidad de los datos  considerando los procesos de aseguramiento, control, inspección y mejoramiento de la calidad de la información. </t>
  </si>
  <si>
    <t>Implementa de manera sistemática el proceso de gestión de la calidad de los datos y hace la medición de la calidad utilizando indicadores y métricas.</t>
  </si>
  <si>
    <t>Hace seguimiento y evaluación a la gestión de la calidad de los datos  y cuenta con mecanismos para el reporte  de hallazgos de calidad.</t>
  </si>
  <si>
    <t>Implementa los controles de calidad y acciones de mejora sobre los datos. Implementa mecanismos para la correción sistemática de hallazgos de calidad de los datos</t>
  </si>
  <si>
    <t>Documentos electrónicos</t>
  </si>
  <si>
    <t>Se cuenta con un proceso y mecanismos para el registro y administración de los documentos electrónicos y su expediente, es transversal a todos los procesos de la entidad.</t>
  </si>
  <si>
    <t xml:space="preserve">Se realiza el seguimiento a los mecanismos de gestión de documentos electrónicos mediante la medición de indicadores en tableros de control </t>
  </si>
  <si>
    <t xml:space="preserve">Se realiza mejora continua a los mecanismos  para la gestión de documentos electrónicos. </t>
  </si>
  <si>
    <t>Referencia geospacial</t>
  </si>
  <si>
    <t xml:space="preserve">La entidad cuenta con mecanismos para implementar y gestionar información geospacial desde los sistemas de información. </t>
  </si>
  <si>
    <t xml:space="preserve">Las adopta las directrices y lineamientos encaminados a facilitar los procesos de gestión geoespacial, de acuerdo con lo definido en el Marco de Referencia Geoespacial del ICDE y demás políticas y lineamientos en esta materia que le apliquen a la entidad y se encuentren vigentes. </t>
  </si>
  <si>
    <t>Intercambio de información</t>
  </si>
  <si>
    <t>La entidad intercambia información con otras entidades haciendo uso de estructuras de información estandarizadas</t>
  </si>
  <si>
    <t>La entidad intercambia información con otras entidades desde cada sistemas de información, haciendo uso de un lenguaje estandarizado o común de intercambio.</t>
  </si>
  <si>
    <t xml:space="preserve">La entidad intercambia información con otras entidades a través de la plataforma de interoperabilidad, y aplica el marco de interoperabilidad del Estado. </t>
  </si>
  <si>
    <t>La entidad define e implementa Acuerdos de Niveles de Servicio (ANS) de intercambio con otras entidades y establece nuevas estrategias.</t>
  </si>
  <si>
    <t>Codigo postal</t>
  </si>
  <si>
    <t>La entidad usa el codigo postal en sus  modelos de información y sistemas de información</t>
  </si>
  <si>
    <t>Explotación de datos</t>
  </si>
  <si>
    <t xml:space="preserve">Utiliza mecanismos de explotación de datos para facilitar el análisis, uso y aprovechamiento de la información. Son estándarizados y se ofrecen como servicios a los grupos de interés. </t>
  </si>
  <si>
    <t xml:space="preserve">Se realizan acciones para generar capacidades de análisis de información para fomentar el uso y aprovechamiento por parte de los grupos de interés. </t>
  </si>
  <si>
    <t xml:space="preserve">Se hace seguimiento, evaluación del uso y se ejecutan acciones de mejoramiento sobre los mecanismos para la explotación de los datos. </t>
  </si>
  <si>
    <t>Datos maestros</t>
  </si>
  <si>
    <t>Se cuenta con un mecanismo o procedimiento para la gestión de los datos maestros en la entidad que incluya su analisis, definición, gobierno e implementación.</t>
  </si>
  <si>
    <t>Se realiza seguimiento y evaluación al procedimiento para la gestión de datos maestros</t>
  </si>
  <si>
    <t xml:space="preserve">Se realiza mejora continua a partir de los resultados del seguimiento al procedimiento de gestión de datos maestros. </t>
  </si>
  <si>
    <t>Metadatos</t>
  </si>
  <si>
    <t>Se cuenta con un mecanismo o procedimiento para la gestión de los metadatos en la entidad que incluya su analisis, definición, mantenimiento y disposición para el uso.</t>
  </si>
  <si>
    <t>Se realiza seguimiento y evaluación al procedimiento para la gestión de metadatos</t>
  </si>
  <si>
    <t>Se realiza mejora continua a partir de los resultados del seguimiento al procedimiento de gestión de metadatos</t>
  </si>
  <si>
    <t>Datos abiertos</t>
  </si>
  <si>
    <t xml:space="preserve">La entidad cuenta con un mecanismo o procedimiento para gestionar el ciclo de apertura, mejora y uso de los datos abiertos que incluye la definición, estructuración, publicación, divulgación y monitoreo de la calidad y uso.  </t>
  </si>
  <si>
    <t>Se realiza monitoreo y evaluación a la gestión de datos abiertos de la entidad</t>
  </si>
  <si>
    <t>Se realiza mejora continua a la gestión de datos abiertos de la entidad</t>
  </si>
  <si>
    <t>Ciclo de vida de la información</t>
  </si>
  <si>
    <t xml:space="preserve">Se ha definido un proceso para la gestión integral y  gobierno del ciclo de vida de los sistemas de información de la entidad, que oriente su  planeación, diseño, desarrollo e implementación desde el punto de vista de la gestión que se realiza desde la entidad y la articulación de actividades con terceros cuando aplique. </t>
  </si>
  <si>
    <t xml:space="preserve">Sistemas de información </t>
  </si>
  <si>
    <t xml:space="preserve">El proceso para la gestión integral y gobierno de ciclo de vida de los sistemas de información es implementado </t>
  </si>
  <si>
    <t xml:space="preserve">Se realiza seguimiento y evaluación al proceso para la gestión integral y gobierno de ciclo de vida de los sistemas de información es implementado </t>
  </si>
  <si>
    <t xml:space="preserve">Se realiza mejora continúa al proceso para la gestión integral y gobierno de ciclo de vida de los sistemas de información es implementado </t>
  </si>
  <si>
    <t>Habilitación de capacidades institucionales con Sistemas de información</t>
  </si>
  <si>
    <t>Los Sistemas de Información habilitan  los procesos y actividades de apoyo administrativo, misionales y de Direccionamiento de las áreas</t>
  </si>
  <si>
    <t>Los Sistemas de Información habilitan y contribuyen al mejoramiento de los procesos y actividades de apoyo administrativo, misionales y de Direccionamiento de las áreas</t>
  </si>
  <si>
    <t>Los Sistemas de Información contribuyen como factor diferenciador al logro de las metas estratégicas de la entidad y al mejoramiento de los procesos y actividades de apoyo administrativo, misionales y de Direccionamiento de las áreas.</t>
  </si>
  <si>
    <t>Los Sistemas de Información contribuyen como un factor transformador al mejoramiento de los procesos y actividades de apoyo administrativo, misionales y de Direccionamiento del modelo integrado de gestión de la entidad y facilitan a la articulación con actores externos.</t>
  </si>
  <si>
    <t>Catálogo de sistemas de información</t>
  </si>
  <si>
    <t>Existe y  se mantiene actualizado un catálogo de sistemas de información con su caracterización mediante atributos que permiten identificar información relevante para la gobernabilidad y gestión de los mismos.</t>
  </si>
  <si>
    <t>El catálogo con la caracterización de los  sistemas de información integra las definiciones realizadas en el dominio de Arquitectura de Sistemas de Información resultado del desarrollo de ejercicios de Arquitectura Empresarial.</t>
  </si>
  <si>
    <t>Gestión de requerimientos</t>
  </si>
  <si>
    <t>Existen e implementa mecanismos o procedimientos sistemáticos para y gestión de requerimientos de desarrollo de software en el ciclo de vida de los sistemas de información de manera que se garantice su trazabilidad y cumplimiento.</t>
  </si>
  <si>
    <t xml:space="preserve">El detalle, definición y aprobación de requerimientos de desarrollo de software se realiza a partir del establecimiento previo de acuerdos de desarrollo de servicios y capacidades de TI. </t>
  </si>
  <si>
    <t xml:space="preserve">En el diseño de los sistemas de información existe e implementa mecanismos o procedimientos sistemáticos para identificar los requerimientos no funcionales aplicables y que responden a los atributos de calidad, lineamientos y principios definidos desde la arquitectura de sistemas de información. </t>
  </si>
  <si>
    <t>Requerimientos no funcionales</t>
  </si>
  <si>
    <t>En el diseño de los sistemas de información se identifican los requerimientos técnicos no funcionales asociados a atributos de calidad establecidos según  la necesidad y criticidad de cada sistema de información.</t>
  </si>
  <si>
    <t xml:space="preserve">En el diseño de los sistemas de información se implementa un mecanismo o procedimiento para identificar los requerimientos técnicos no funcionales aplicables y que se encuentran asociados a los atributos de calidad definidos en el plan integral de calidad de los sistemas de información. </t>
  </si>
  <si>
    <t>Trazabilidad y auditoria</t>
  </si>
  <si>
    <t>Los Sistemas de Información cuentan con estructuras estandarizadas de registro de mensajes, aspectos de almacenamiento, seguridad y consideraciones adicionales respecto a la gestión de la trazabilidad y auditoria de las transacciones o acciones de creación, actualización, modificación o borrado de información para los sistemas clasificados de acuerdo a su criticidad y relevancia para los procesos de la entidad.</t>
  </si>
  <si>
    <t xml:space="preserve">Los sistemas de información de misión crítica cuentan con estructuras que faciitan la trazabilidad y auditoria </t>
  </si>
  <si>
    <t>Ambientes independientes</t>
  </si>
  <si>
    <t>Para soportar el ciclo de vida de los Sistemas de información se contempla dos ambientes independientes; desarrollo y producción.</t>
  </si>
  <si>
    <t>Para soportar el ciclo de vida de los Sistemas de información se contempla como mínimo 3 ambientes independientes: desarrollo, calidad y producción.</t>
  </si>
  <si>
    <t xml:space="preserve">Guía de estilo y usabilidad </t>
  </si>
  <si>
    <t>Desde la gestión de TI se ha definido una guía de estilo y  usabilidad que se aplica de manera estandarizada en el desarrollo de los sistemas de  información de la entidad buscando homogenizar y facilitar la experiencia del usuario.</t>
  </si>
  <si>
    <t xml:space="preserve">La guía de estilo y usabilidad para el desarrollo de los sistemas de información de la entidad, se define teniendo en cuenta los lineamientos de comunicación y usabilidad de la entidad y del Estado Colombiano, aplicando estandares internacionales, y determinando las excepciones y su manejo. </t>
  </si>
  <si>
    <t>Accesibilidad</t>
  </si>
  <si>
    <t>En el diseño y desarrollo de los sistemas de información se aplican criterios de accesibilidad para desarrollar funcionalidades  de accebilidad de acuerdo con las necesidades de los grupos de interés.</t>
  </si>
  <si>
    <t>Se ha definido e implementado un mecanismo sistemático para establecer y aplicar criterios de accesibilidad en el diseño y desarrollo de los sistemas de información de la entidad teniendo en cuenta los lineamientos del Estado Colombiano en esta materia y estándares internacionales.</t>
  </si>
  <si>
    <t>Metodología de referencia</t>
  </si>
  <si>
    <t xml:space="preserve">Aplica y personaliza mejores prácticas para el desarrollo y mantenimiento de software de la industria en la definición de las metodologías de referencia que se utilizan en la construcción y evolución de los sistemas de información de la entidad. </t>
  </si>
  <si>
    <t>Existen y se aplican lineamientos para la adopción de metodologías de referencia para el desarrollo y mantenimiento de software que orientan los proyectos de construcción o evolución de los sistemas de información, ya sea internamente o a través de terceros.</t>
  </si>
  <si>
    <t>Integración continua</t>
  </si>
  <si>
    <t>Dentro del proceso para la gestión integral y gobierno del ciclo de vida de los sistemas de información de la entidad, se ha definido e implementado una estrategia o procedimiento de integración continúa que oriente las actividades de desarrollo de elementos de software durante la construcción y evolución de los sistemas de información.</t>
  </si>
  <si>
    <t>Entrega continua</t>
  </si>
  <si>
    <t xml:space="preserve">Dentro del proceso para la gestión integral y gobierno del ciclo de vida de los sistemas de información de la entidad, se ha definido e implementado una estrategia o procedimiento de entrega continúa que oriente las actividades de entrega a la operación de los componentes de software que se desarrollan. Este procedimiento está articulado con la gestión de la entrega de los servicios de TI. </t>
  </si>
  <si>
    <t>Despliegue continuo</t>
  </si>
  <si>
    <t>Dentro del proceso para la gestión integral y gobierno del ciclo de vida de los sistemas de información de la entidad, se ha definido e implementado una estrategia o procedimiento de despliegue continúo articulado  con la gestión de la entrega de los servicios de TI para la puesta en producción/operación de los componentes de software desarrollados.</t>
  </si>
  <si>
    <t>Gestión del cambio en los SI</t>
  </si>
  <si>
    <t xml:space="preserve">Existe un procedimiento o mecanismo de gestion de cambios sobre los componentes de software  para realizar el mantenimiento y actualización de los sistemas de información. </t>
  </si>
  <si>
    <t>El procedimiento de gestión de cambios sobre los componentes de software del sistema de información se implementa de manera sistemática. Este procedimiento incluye el analisis de impacto del cambio a nivel funcional y técnico, con el fin de determinar la viabilidad  y las acciones a seguir y  está articulado con la gestión de cambios de los servicios de TI.</t>
  </si>
  <si>
    <t>Documentación del SI</t>
  </si>
  <si>
    <t>Existe un mecanismo estandarizado para gestionar el versionamiento, la documentación técnica y funcional de los sistemas de información.</t>
  </si>
  <si>
    <t>Todos los sistemas de información cuentan con información técnica y funcional actualizada</t>
  </si>
  <si>
    <t>Plan de aseguramiento de la calidad de los SI</t>
  </si>
  <si>
    <t xml:space="preserve">Para asegurar la calidad de los componentes de software en los procedimientos de desarrollo, entrega, despliegue y puesta en operación de los sistemas de información, existe y se implementa un mecanismo o procedimiento para definir y ejecutar el plan de pruebas incluyendo aspectos funcionales y no funcionales. </t>
  </si>
  <si>
    <t>Se definen e implementan planes de prueba para asegurar la calidad de los componentes de software de los sistemas de información de la entidad.</t>
  </si>
  <si>
    <t>Mantenimiento preventivo y correctivo de los SI</t>
  </si>
  <si>
    <t xml:space="preserve">Se realiza mantenimiento correctivo y preventivo de los sistemas de información mediante contratos con terceros o con recurso interno de la entidad. </t>
  </si>
  <si>
    <t xml:space="preserve">Se tiene definido e implementado un esquema estandarizado para garantizar el soporte y mantenimiento sobre  los sistemas de información de la entidad que incluye la gestión de los terceros y  tiene establecidos criterios de aceptación y Acuerdos de Nivel de Servicio (ANS) en función de los criterios de calidad establecidos en el plan integral de calidad de los sistemas de información. </t>
  </si>
  <si>
    <t>Catálogo de servicios de Tecnología</t>
  </si>
  <si>
    <t>Existe y  se mantiene actualizado un catálogo de servicios de tecnológicos con su caracterización mediante atributos que permiten identificar información relevante para la gobernabilidad y gestión de los mismos.</t>
  </si>
  <si>
    <t>Gestión de servicios de TI</t>
  </si>
  <si>
    <t>El catálogo con la caracterización de los  servicios de Tecnología integra las definiciones realizadas en el dominio de Arquitectura de Tecnología resultado del desarrollo de ejercicios de Arquitectura Empresarial.</t>
  </si>
  <si>
    <t>Proceso de gestión de los servicios de TI</t>
  </si>
  <si>
    <t>Se ha definido el proceso para la gestión de los servicios de Tecnológicos, en cual se orientan el desarrollo de las actividades para el suministro, operación, soporte y mantenimiento de la capacidades que habilitan los servicios de TI.</t>
  </si>
  <si>
    <t>Se ha definido e implementado el proceso para la gestión de los servicios de Tecnológicos, en cual se orientan el desarrollo de las actividades para el suministro, operación, soporte y mantenimiento de la capacidades que habilitan los servicios de TI y  se aplican mejores prácticas de la industria.</t>
  </si>
  <si>
    <t>Se realiza seguimiento y evaluación al proceso para la gestión de servicios tecnológicos</t>
  </si>
  <si>
    <t xml:space="preserve">Se realiza mejora continua sobre el proceso para la gestión de servicios tecnologicos </t>
  </si>
  <si>
    <t>Gestión de capacidad</t>
  </si>
  <si>
    <t>Se realiza la gestión de capacidad de los servicios tecnológicos a partir de la información de la gestión de eventos y gestión de acuerdos de niveles de servicio (ANS)</t>
  </si>
  <si>
    <t>Se ha definido e implementado un procedimiento para gestionar las capacidades de los Servicios Tecnológicos mediante el análisis de requerimientos de desempeño y de información resultado del monitoreo de los servicios.</t>
  </si>
  <si>
    <t>Se cuenta con un mecanismo para identificar necesidades de capacidad sobre de los Servicios Tecnológicos,  producto de las alertas de cambio en los umbrales definidos de la capacidad ocupada</t>
  </si>
  <si>
    <t>Servicios en la nube</t>
  </si>
  <si>
    <t>La prestación de servicios de ofimática y colaboración se contemplan para ser adquiridos bajo la modalidad de nube</t>
  </si>
  <si>
    <t>La operación de algunos sistemas de información son contratados bajo la modalidad de nube</t>
  </si>
  <si>
    <t xml:space="preserve">Existe un procedimiento formal para evaluar como primera opción la prestación de los servicios en modalidad de nube </t>
  </si>
  <si>
    <t>Gestión de ANS</t>
  </si>
  <si>
    <t>El área de TI cuenta con mecanismos de definición de ANS sobre los servicios tecnológicos</t>
  </si>
  <si>
    <t>Se ha definido e implementado  un procedimiento de gestión de niveles de servicio a partir del cual se define los ANS de todos los servicios</t>
  </si>
  <si>
    <t>Se hace monitoreo y evaluación los ANS de todos los servicios y se aplican las medidas correctivas necesarias</t>
  </si>
  <si>
    <t>Gestión de continuidad de TI</t>
  </si>
  <si>
    <t>Se cuenta con mecanismos de respaldo y recuperación sobre las capacidades de tecnología que habilitan los servicios de TI</t>
  </si>
  <si>
    <t>Se ha definido en implementado un procedimiento de gestión de continuidad de servicios de TI en el cual  se articula con la continuidad de negocio de la entidad y se tienen definidos e implementados los planes de continuidad de los servicios tecnológicos y las infraestructuras críticas que posee.</t>
  </si>
  <si>
    <t>Se realizan pruebas periódicas sobre los planes de continuidad de TI</t>
  </si>
  <si>
    <t>Se hace mejora continúa en la gestión de la continuidad.</t>
  </si>
  <si>
    <t xml:space="preserve">Gestión de disponbilidad </t>
  </si>
  <si>
    <t xml:space="preserve">Se cuenta con una estrategia y un procedimiento para definir los esquemas de disponibilidad orientados a contigencias y alta disponibiliad según la criticidad de los servicios </t>
  </si>
  <si>
    <t xml:space="preserve">Se ha definido e implementado un procedimiento para gestionar la disponibilidad según la criticidad de los servicios. </t>
  </si>
  <si>
    <t xml:space="preserve">Se realiza monitoreo y evaluación a la gestión de la disponibilidad de los servicios. </t>
  </si>
  <si>
    <t>Se hace mejora continua sobre la gestión de la disponibilidad de los servicios</t>
  </si>
  <si>
    <t>Gestión de seguridad informática</t>
  </si>
  <si>
    <t>La entidad hizo la gestión de los riesgos asociados a su infraestructura tecnológica y servicios tecnológicos.</t>
  </si>
  <si>
    <t xml:space="preserve">La entidad define formalmente e implementa procedimientos de la gestión de seguridad informática, que incluye el análisis y gestión de los riesgos asociados e implementa controles de seguridad para los servicios tecnológicos </t>
  </si>
  <si>
    <t>Se realiza monitoreo y evaluación a la gestión de la seguridad informática</t>
  </si>
  <si>
    <t>Se realiza mejora continua sobre la gestión de seguridad informática</t>
  </si>
  <si>
    <t>Gestión de cambios</t>
  </si>
  <si>
    <t>Se cuenta con un procedimiento de cambio formalizado para registrar y establecer el plan de ejecución de los cambios a realizar en los Servicios Tecnológicos</t>
  </si>
  <si>
    <t>Se ha definido en implementado un procedimiento de gestión de cambios que se encuentra articulado con la administración de la capacidad del servicio, la gestión de la seguridad, la gestión de la entrega y puesta en producción/operación.</t>
  </si>
  <si>
    <t>Se realiza evaluación, seguimiento a la gestión de cambios</t>
  </si>
  <si>
    <t>Se adelantan acciones de mejora continúa sobre la gestión de cambios.</t>
  </si>
  <si>
    <t>Gestión de incidentes y solicitudes</t>
  </si>
  <si>
    <t>Se ha definido e implementado un procedimiento para atender los requerimientos de soporte de los servicios de TI</t>
  </si>
  <si>
    <t>Se ha definido e implementado un procedimiento de gestión de incidentes y solicitudes con un esquema de soporte con niveles de atención (primer, segundo y tercer nivel) a través de un punto único de contacto y soportado por una herramienta tecnológica</t>
  </si>
  <si>
    <t>Se realiza seguimiento y evaluación a la gestión de incidentes y solicitudes</t>
  </si>
  <si>
    <t>Se realiza mejoramiento continuo de los servicios a partir del seguimiento y evaluación al procedimiento de gestión de incidentes y solicitudes</t>
  </si>
  <si>
    <t>Gestión de residuos técnológicos</t>
  </si>
  <si>
    <t>La entidad tiene definido e implementado un programa de correcta disposición final de los residuos tecnológicos de acuerdo con la normatividad del Estado Colombiano</t>
  </si>
  <si>
    <t>Mantenimiento preventivo y correctivo</t>
  </si>
  <si>
    <t>El área de TI tiene definidos procedimientos para el mantenimiento correctivo de los servicios Tecnológicos</t>
  </si>
  <si>
    <t>El área de TI tiene establecido y aplica un procedimiento para planear y ejecutar las acciones de mantenimiento preventivo , correctivo y evolutivo sobre los servicios tecnológicos de la entidad</t>
  </si>
  <si>
    <t>Gestión de eventos</t>
  </si>
  <si>
    <t>Se monitorea y mide el desempeño de las bases de datos, sistemas de información y servicios tecnológicos para tomar acciones cuando presente algún tipo de incidente</t>
  </si>
  <si>
    <t>Se ha definido e implementado un procedimiento de gestión de eventos con mecanismos automáticos para el monitoreo sobre los servicios tecnológicos y que facilita su gestión preventiva, correctiva y evolutiva.</t>
  </si>
  <si>
    <t>Se realiza seguimiento y evaluación a la gestión de eventos</t>
  </si>
  <si>
    <t>Se realiza mejoramiento continuo de los servicios a partir de la gestion de eventos.</t>
  </si>
  <si>
    <t>Gestión de problemas</t>
  </si>
  <si>
    <t>Se cuenta con mecanismos para identifcar y dar solución a los problemas identificados sobre los servicios de TI.</t>
  </si>
  <si>
    <t>Se ha definido e implementado  procedimiento de gestión de problemas  formalizado,  el cual incluye ademas del registro, el análisis de impacto del problema, identificación del error conocido, plan de soluciones y la viabilidad de su implementación. Se encuentra articulado con los demás procedimientos de gestión de servicios tecnológicos que intervienen en la soluciones.</t>
  </si>
  <si>
    <t>La gestión de problemas  se encuentra articulada con los demás procedimientos de gestión de servicios tecnológicos que intervienen en la soluciones.</t>
  </si>
  <si>
    <t>Gestión de configuraciones</t>
  </si>
  <si>
    <t>Se cuenta con un repositorio para almacenar la información de de la operación de los servicios de TI y las configuraciones de las capacidades tecnológicas.</t>
  </si>
  <si>
    <t xml:space="preserve">Se ha definido e implementado  procedimiento de gestión de configuraciones  para almacenar y gestionar la información de configuraciones de todos los servicios de TI y capacidades de tecnología. </t>
  </si>
  <si>
    <t>La gestión de de configuraciones se encuentra articulada con la gestión de cambios y la gestión de la seguridad informática</t>
  </si>
  <si>
    <t>Estrategia de uso y apropiación de TI</t>
  </si>
  <si>
    <t>Desde la gestión de TI se ejecutan acciones de uso y apropiación particulares para impulsar la adopción de capacidades y servicios de TI</t>
  </si>
  <si>
    <t>Uso y apropiación</t>
  </si>
  <si>
    <t>La estrategia de uso y apropiación de TI existe y se ejecuta según su plan de implementación para impulsar la adopción de las capacidades y servicios de TI por parte de los grupos de interés.</t>
  </si>
  <si>
    <t>Se realiza el seguimiento y evaluación a la implementación de la estrategia de uso y apropiación y se establecen acciones de mejoramiento.</t>
  </si>
  <si>
    <t>Se ejecutan acciones de mejoramiento o actualizaciones sobre la estrategia de uso y apropiación de TI como resultado de la evaluación y seguimiento de su implementación.</t>
  </si>
  <si>
    <t>Se establecen incentivos para movilizar a los grupos de interés en el desarrollo y adopción de capacidades y servicios de TI de misión crítica o prioritarias</t>
  </si>
  <si>
    <t>Existe un lineamiento y/o mecanismo sistemático a partir del cual se definen e implementan los esquemas de incentivos que permiten movilizar a los grupos de interés para impulsar la adopción de las capacidades y servicios de TI disponibles.</t>
  </si>
  <si>
    <t>Plan de formación</t>
  </si>
  <si>
    <t>Desde la gestión de TI y como parte de la transferencia de conocimiento en el desarrollo de los proyectos con componentes de TI, se ejecutan acciones de formación a las partes interesadas en el uso y administración de los servicios y capacidades de TI que se habilitan.</t>
  </si>
  <si>
    <t>Desde la gestión de TI se define y ejecuta un plan de formación que incorpora el desarrollo de competencias requeridas, tanto por los profesionales de TI como por los funcionarios de la entidad, para el desarrollo de sus funciones y hacer un uso adecuado de las capacidades y servicios de TI</t>
  </si>
  <si>
    <t xml:space="preserve">El plan de formación para impulsar la apropiación de las capacidades y servicios de TI incluye a todas las partes interesadas, internas y externas a la entidad, y se ejecuta de manera articulada entre TI y las áreas funcionales relacionadas con el servicio y las áreas encargadas de la formación y talento humano en la entidad. </t>
  </si>
  <si>
    <t>Gestión del cambio organizacional</t>
  </si>
  <si>
    <t xml:space="preserve">Las acciones de apropiación definidas en  la estrategia de Uso y apropiación de TI se articulan con las acciones y plan de gestión de cambio organizacional. </t>
  </si>
  <si>
    <t>Indicadores y seguimiento</t>
  </si>
  <si>
    <t xml:space="preserve">Desde la gestión de TI se  definen y miden indicadores de uso y apropiación para evaluar el nivel de adopción y la satisfacción sobre el uso de las capacidades y servicios de TI.  </t>
  </si>
  <si>
    <t xml:space="preserve">Existe un mecanismo o prodecimiento para definir y medir de manera sistemática y periódica los indicadores de resultado sobre las acciones de uso y apropiación de TI en función del nivel de uso y nivel de satisfacción de las capacidades y servicios de TI. </t>
  </si>
  <si>
    <t>Se realiza monitoreo y evaluación a los indicadores de uso y apropiación de TI</t>
  </si>
  <si>
    <t xml:space="preserve">Se realiza mejoramiento continúo en las capacidades y servicios de TI y en las acciones de uso y apropiación a partir de los hallazgos encontrados en los indicadores de uso y apropiación. </t>
  </si>
  <si>
    <t>Instrumento para la evaluación de los criterios de Gestión y Gobierno de TI</t>
  </si>
  <si>
    <t>Id Criterio</t>
  </si>
  <si>
    <t>Nivel de madurez</t>
  </si>
  <si>
    <t>Dominio</t>
  </si>
  <si>
    <t>Cumple, porque anualmente se formula el plan de acción donde se estiman los proyectos con componentes de TI  a ejecutar dentro de la vigencia</t>
  </si>
  <si>
    <t>Plan de Acción de TI 2022- Link</t>
  </si>
  <si>
    <t xml:space="preserve">Cumple, porque la entidad ha definido un PETI a cuatro años y se definió el portafolio de proyectos con su hoja de ruta para la implementación. </t>
  </si>
  <si>
    <t>Portafolio de proyectos estrategicos - Link
Hoja de Ruta estratégica de TI - Link</t>
  </si>
  <si>
    <t xml:space="preserve">No cumple, el PETI fue desarrollado por una firma consultora y no hay un mecanismo sistemático para mantener actualizado el portafolio de proyectos estratégicos. </t>
  </si>
  <si>
    <t>N/A</t>
  </si>
  <si>
    <t>Parcialmente se cumple, El PETI se desarrolló a partir de la alineación con la estrategia y modelo de gestión institucional</t>
  </si>
  <si>
    <t>PETI, capitulo de Alineación estratégica.</t>
  </si>
  <si>
    <t xml:space="preserve">Evaluación consolidada del Nivel de Madurez de la Gestión de Proyectos de TI  y evaluación por dimensiones </t>
  </si>
  <si>
    <t>Gestión de Proyectos de TI</t>
  </si>
  <si>
    <t>Adhoc</t>
  </si>
  <si>
    <t>Abreviado</t>
  </si>
  <si>
    <t>Organizado</t>
  </si>
  <si>
    <t xml:space="preserve">Evaluación del nivel de madurez de la Gestión de proyectos de TI  por atributos y elementos																						</t>
  </si>
  <si>
    <t>CONTEXTO ESTRATÉGICO</t>
  </si>
  <si>
    <t>PLANEACIÓN</t>
  </si>
  <si>
    <t>EJECUCIÓN Y CONTROL</t>
  </si>
  <si>
    <t>CIERRE Y OPERACIÓN</t>
  </si>
  <si>
    <t>Cumplimiento normativo</t>
  </si>
  <si>
    <t xml:space="preserve">En la estructuración, gestión y ejecución de los proyectos de TI se analiza y se incorpora el marco normativo relacionado que direcciona legalmente la ejecución del proyecto. </t>
  </si>
  <si>
    <t>Alineación estrátégica</t>
  </si>
  <si>
    <t>Los proyectos de TI que se gestionan tienen una intencionalidad estratégica o fin superior definidos, hacen parte del portafolio de proyectos de TI que se consolida a partir de los resultados de ejercicios de planeación estratégica institucional que establecen iniciativas con componentes de TI (Plan estratégico institucional, Plan de Transformación digital, PETI, Arquitectura Empresarial, etc)</t>
  </si>
  <si>
    <t>Generación de valor público</t>
  </si>
  <si>
    <t>Existen y se implementan mecanismos o procedimientos como parte de la gestión de proyectos para la identificación y medición del valor público generado con su desarrollo.</t>
  </si>
  <si>
    <t>Proceso de gestión de proyectos</t>
  </si>
  <si>
    <t xml:space="preserve">Existe en la entidad  un proceso transversal para guiar la gestión de proyectos en general que es implementado en la gestión de los proyectos de TI con las particularidades propias de este tipo de proyectos. </t>
  </si>
  <si>
    <t>Banco de proyectos</t>
  </si>
  <si>
    <t xml:space="preserve">La entidad cuenta un repositorio institucional de proyectos y es utilizado para consolidar y gestionar la información de los proyectos de TI. Existe un mecanismo estandarizado para su actualización y gestión. </t>
  </si>
  <si>
    <t>Oficina de proyectos</t>
  </si>
  <si>
    <t>Existe un organismo o estructura organizacional para la gestión de proyectos de TI que funciona de manera articulada y con los lineamientos de la gestión de proyectos que es transversal a la entidad. Este organismo apoya la estandarización y optimización los procesos particulares de la gestión de proyectos TI.</t>
  </si>
  <si>
    <t>Liderazgo proyectos de TI</t>
  </si>
  <si>
    <t>El organismo o estructura responsable de la gestión de TI en la entidad lidera gestión y supervisión de los proyectos de TI o con componentes de TI.</t>
  </si>
  <si>
    <t>Formulación de los proyectos</t>
  </si>
  <si>
    <t>Los proyectos de TI se formulan de manera general, teniendo en cuenta el marco de planeación institucional buscando con la medición de sus resultados aportar al reporte de avance y medición de metas institucionales, y de manera particular,  con la aplicación de buenas prácticas internacionales para la gestión de proyectos que aseguran el exito de se ejecución según las necesidades y naturaleza de cada proyecto.</t>
  </si>
  <si>
    <t>Ficha de proyecto</t>
  </si>
  <si>
    <t xml:space="preserve">Existe un mecanismo estandarizado para definir la ficha con la información que caracteriza cada proyecto a ser gestionado. </t>
  </si>
  <si>
    <t>Identificación de interesados</t>
  </si>
  <si>
    <t>Existe y se implementa un procedimiento para gestionar los interesados del proyecto mediante el cual se identifican los interesados clave del proyecto y se caracterizan de acuerdo con sus necesidades, intereses, poder.</t>
  </si>
  <si>
    <t>Selección de metodologías</t>
  </si>
  <si>
    <t>Existe y se implementa un mecanismo o procedimiento que facilite la selección de la metodología a utilizar para gestionar cada proyecto de TI de acuerdo con las características del mismo y los lineamientos institucionales asociados. Se han definido plantillas según las opciones de metodologías disponibles.</t>
  </si>
  <si>
    <t>Plan de gestión del proyecto de TI</t>
  </si>
  <si>
    <t>Existe y se implementa un mecanismo o procedimiento para definir, mediante un plan de gestión de proyecto de TI, cómo se hará la ejecución, monitoreo y control del proyecto de acuerdo con la metodología de gestión de proyectos que se utilice.</t>
  </si>
  <si>
    <t>Planeación del alcance</t>
  </si>
  <si>
    <t>Existe y se implementa un procedimiento para gestionar el alcance del proyecto mediante el cual  se realiza la planeación y definición del alcance del proyecto contemplando los siguientes aspectos: la definición de requerimientos (Objetivos generales y específicos), identificación de las partes interesadas, la declaración del alcance (entregables, criterios de aceptación, etc), y  cómo se estructura su desarrollo (etapas y componentes).</t>
  </si>
  <si>
    <t>Definición del cronograma</t>
  </si>
  <si>
    <t xml:space="preserve">Existe y se implementa un procedimiento para gestionar el cronograma del proyecto de acuerdo con la metodología de gestión de proyectos seleccionada, mediante el cual se realiza la definición del conograma del proyecto contemplando: la definición de actividades, secuencia, iteraciones, estimación y asignación de recursos, duración, programación y métricas. </t>
  </si>
  <si>
    <t>Costos y presupuesto</t>
  </si>
  <si>
    <t xml:space="preserve">Existe y se implementa un procedimiento para gestionar los costos del proyecto, mediante el cual  se realiza la estimación de los costos detallados necesarios para desarrollar el alcance y según lo establecido en el cronograma, y se determina el presupuesto total del proyecto. </t>
  </si>
  <si>
    <t>Planificación de la calidad</t>
  </si>
  <si>
    <t>Existe y se implementa un procedimiento para gestionar la calidad del proyecto, mediante el cual  se realiza la definición de los atributos de calidad, actividades y metricas para el control de calidad.</t>
  </si>
  <si>
    <t>Planeación del talento humano</t>
  </si>
  <si>
    <t xml:space="preserve">Existe y se implementa un procedimiento para gestionar el talento humano del proyecto, mediante el cual se realiza la identificación de habilidades, asignación de roles y responsabilidades y la planeación de acciones de desarrollo de habilidades. </t>
  </si>
  <si>
    <t>Plan de comunicaciones</t>
  </si>
  <si>
    <t xml:space="preserve">Existe y se implementa un procedimiento para gestionar las comunicaciones del proyecto, mediante el cual se define el plan comunicaciones del proyecto teniendo en cuenta entre otros, los siguientes aspectos: identificación de mensajes o información a entrar, el propósito, a quíen va dirigido (partes interesadas), con qué frecuencia y por qué canal. </t>
  </si>
  <si>
    <t>Identificación y analisis de riesgos</t>
  </si>
  <si>
    <t xml:space="preserve">Existe y se implementa un procedimiento para gestionar los riesgo del proyecto, mediante el cual se realiza la identificación (por tipo de riesgo) y  el analisis de riesgos (probabilidad de ocurrencia, impacto) que puedan afectar la ejecución del proyecto, y la definición de posibles acciones de mitigación (respuestas al riesgo). </t>
  </si>
  <si>
    <t>Planeación de adquisiciones</t>
  </si>
  <si>
    <t xml:space="preserve">Existe y se implementa un procedimiento para gestionar las adquisiciones del proyecto que está articulado con los procesos de contratación de la entidad y mediante el cual se realiza la planeación de las compras de bienes y servicios requeridos para la ejecución del proyecto teniendo en cuenta la asignación presupuestal para el mismo. </t>
  </si>
  <si>
    <t>Planeación de la gestión de interesados</t>
  </si>
  <si>
    <t xml:space="preserve">Existe y se implementa un procedimiento para gestionar los interesados del proyecto mediante el cual se establecen las acciones para lograr la participación  y compromiso  de los interesados durante el desarrollo del proyecto. </t>
  </si>
  <si>
    <t>Comunicaciones del proyecto</t>
  </si>
  <si>
    <t xml:space="preserve">Existe y se implementa un procedimiento para gestionar las comunicaciones del proyecto, mediante el cual se ejecuta,hace seguimiento y actualización del plan de comunicaciones de proyecto. </t>
  </si>
  <si>
    <t>Involucramiento de interesados</t>
  </si>
  <si>
    <t>Existe y se implementa un procedimiento para gestionar los interesados del proyecto mediante el cual se ejecutan y hace seguimiento a las acciones para lograr el involucramiento de los interesados en el proyecto. Este procedimiento debe estar articulado con la gestión de cambios del proyecto cuando desde los interesados se generan este tipo de solicitudes.</t>
  </si>
  <si>
    <t>Vinculación y seguimiento al desempeño del talento humano</t>
  </si>
  <si>
    <t xml:space="preserve">Existe y se implementa un procedimiento para gestionar el talento humano del proyecto, mediante el cual se realizan las siguientes actividades:  vinculación,  dirección y seguimiento al desempeño del equipo humano asignado al proyecto,  identificación de necesidades de cambio o asignación de nuevos recursos humanos,  desarrollo de habilidades,  manejo de situaciones conflicto, entre otras; todo esto buscando el mejor rendimiento del proyecto. </t>
  </si>
  <si>
    <t>Seguimiento y control al alcance del proyecto</t>
  </si>
  <si>
    <t>Existe y se implementa un procedimiento para gestionar el alcance del proyecto mediante el cual  se realiza el seguimiento y control al desarrollo de las actividades y entregables contempladas en el alcance del proyecto.</t>
  </si>
  <si>
    <t>Seguimiento al desempeño del proyecto</t>
  </si>
  <si>
    <t xml:space="preserve">Existe y se implementa un procedimiento para gestionar el cronograma del proyecto de acuerdo con la metodología de gestión de proyectos seleccionada, mediante el cual se realiza el seguimiento y control al desempeño en el desarrollo de las actividades de acuerdo con  los tiempos y recursos asignados. </t>
  </si>
  <si>
    <t>Aseguramiento y control de calidad</t>
  </si>
  <si>
    <t>Existe y se implementa un procedimiento para gestionar la calidad del proyecto, mediante el cual  se realiza el control y aseguramiento de la calidad en función de los atributos de calidad y acciones definidas en el plan de calidad del proyecto</t>
  </si>
  <si>
    <t>Seguimiento financiero</t>
  </si>
  <si>
    <t>Existe y se implementa un procedimiento para gestionar los costos del proyecto, mediante el cual  se realiza el seguimiento a la ejecucion financiera y control de costos del proyecto.</t>
  </si>
  <si>
    <t>Adquisición de bienes y servicios</t>
  </si>
  <si>
    <t xml:space="preserve">Existe y se implementa un procedimiento para gestionar las adquisiciones del proyecto que está articulado con los procesos de contratación de la entidad y mediante el cual se realizan y se hace seguimiento a las compras de bienes y servicios requeridos y planeados  para la ejecución del proyecto. </t>
  </si>
  <si>
    <t>Monitoreo y control de riesgos</t>
  </si>
  <si>
    <t xml:space="preserve">Existe y se implementa un procedimiento para gestionar los riesgo del proyecto, mediante el cual se realiza el monitoreo y control de riesgos  y se implementan  las respuestas establecidas en la fase de planeación </t>
  </si>
  <si>
    <t>Cambios del proyecto</t>
  </si>
  <si>
    <t>Existe y se implementa un procedimiento para gestionar de manera integral los cambios del proyecto, mediante el cual se  gestionan las solicitudes de cambio, se realiza su clasificación, analisis de impacto, aprobación y plan de implementación.  Adicionalmente establece el órgano de gobierno del proyecto  o responsables de la aprobación de los cambios de acuerdo con su tipificación.</t>
  </si>
  <si>
    <t xml:space="preserve">Gestion del conocimiento </t>
  </si>
  <si>
    <t>Existe y se implementa un procedimiento para la gestión del conocimiento del proyecto que establece las acciones para registrar información del proyecto y lecciones aprendidas que pueden ser útiles durante la ejecución del mismo o para ejecutar otros proyectos</t>
  </si>
  <si>
    <t>Aceptación formal de entregables</t>
  </si>
  <si>
    <t>Existe y se implementa un procedimiento para gestionar el alcance del proyecto mediante el cual  se obtiene la aceptación formal de todos los entregables de acuerdo con los criterios de aceptación definidos en la planeación del proyecto.</t>
  </si>
  <si>
    <t>Cierre de adquisiciones</t>
  </si>
  <si>
    <t xml:space="preserve">Existe y se implementa un procedimiento para gestionar las adquisiciones del proyecto que está articulado con los procesos de contratación de la entidad y mediante el cual se realizan las actiividades de cierre contractual de los bienes y servicios adquiridos para la ejecución del proyecto. El cierre incluye la evaluación del desempeño de los proveedores o contratistas que suministraron el bien o servicio. </t>
  </si>
  <si>
    <t>Cierre financiero</t>
  </si>
  <si>
    <t>Existe y se implementa un procedimiento para gestionar los costos del proyecto, mediante el cual  se realizan las actividades para asegurar el cierre administrativo del proyecto:  cierre del plan de gestión de proyecto, consolidación y registro de las lecciones aprendidas y reporte final del proyecto</t>
  </si>
  <si>
    <t>Consolidación de lecciones aprendidas</t>
  </si>
  <si>
    <t xml:space="preserve">Existe y se implementa un procedimiento para la gestión del conocimiento del proyecto a partir del cual se realizan las actividades de consolidación y cierre de lecciones aprendidas durante todo el proyecto o fase. </t>
  </si>
  <si>
    <t>Cierre administrativo del proyecto o fase</t>
  </si>
  <si>
    <t xml:space="preserve">Existe y se implementa un procedimiento para gestionar el cierre administrativo del proyecto o fase, mediante el cual  se realizan las actividades para asegurar el cierre financiero sobre los compromisos adquiridos y reporte final de costos. </t>
  </si>
  <si>
    <t>Evaluación de fines propuestos</t>
  </si>
  <si>
    <t xml:space="preserve">Existe y se implementa un procedimiento o mecanismo para desarrollar, una vez los entregables y productos del proyecto pasan a la etapa de operación, la evaluación de los resultados del proyecto y medir el éxito en términos del impacto y los beneficios que se obtienen, y si estos corresponden a lo planeado en el alcance del proyecto desarrollado. </t>
  </si>
  <si>
    <t>Instrumento para la evaluación de los criterios de Gestión de Proyectos</t>
  </si>
  <si>
    <t>Se realiza para algunos proyectos de TI particulares</t>
  </si>
  <si>
    <t>Proyecto de desarrollo del sistema misional de la entidad</t>
  </si>
  <si>
    <t>Proyecto con marco estratégico</t>
  </si>
  <si>
    <t>No se realiza ninguna actividad formal para identificar el valor generado</t>
  </si>
  <si>
    <t>Existe un proceso transversal de gestión proyectos en el mapa de procesos de la entidad y se aplica para algunos proyectos de TI</t>
  </si>
  <si>
    <t>Evaluación de Madurez de la Arquitectura Empresarial</t>
  </si>
  <si>
    <t>Con este instrumento se evalúa y mide el nivel de desarrollo, gestión y adopción de la Arquitectura Empresarial en la entidad. 
La evaluación se realiza por elementos que se deben cumplir durante las 6 etapas y/o niveles de madurez. Por lo tanto el criterio de evaluación de cada elemento esta dado por su nivel (porcentaje) de cumplimiento o realización: cumple, cumple parcialmente o no cumple.</t>
  </si>
  <si>
    <t xml:space="preserve"> Pasos para realizar la evaluación</t>
  </si>
  <si>
    <r>
      <rPr>
        <b/>
        <sz val="14"/>
        <color theme="1"/>
        <rFont val="Arial"/>
        <family val="2"/>
      </rPr>
      <t>Paso 1. Reconocimiento del modelo de madurez de Arquitectura Empresarial</t>
    </r>
    <r>
      <rPr>
        <sz val="12"/>
        <color theme="1"/>
        <rFont val="Arial"/>
        <family val="2"/>
      </rPr>
      <t xml:space="preserve"> 
Realice el reconocimiento de la estructura conceptual del modelo de madurez de Arquitectura Empresarial para que se familiarice con los conceptos que se van a evaluar en la </t>
    </r>
    <r>
      <rPr>
        <b/>
        <sz val="12"/>
        <color theme="1"/>
        <rFont val="Arial"/>
        <family val="2"/>
      </rPr>
      <t xml:space="preserve">Hoja. Modelo de Madurez </t>
    </r>
  </si>
  <si>
    <t>Ver modelo de madurez</t>
  </si>
  <si>
    <r>
      <rPr>
        <b/>
        <sz val="14"/>
        <color theme="1"/>
        <rFont val="Arial"/>
        <family val="2"/>
      </rPr>
      <t>Paso 2. Diligencie la evaluación en la hoja 1.2 Evaluación MAE</t>
    </r>
    <r>
      <rPr>
        <sz val="12"/>
        <color theme="1"/>
        <rFont val="Arial"/>
        <family val="2"/>
      </rPr>
      <t xml:space="preserve">
Para llevar a cabo la evaluación, deberá diligenciar la información en la </t>
    </r>
    <r>
      <rPr>
        <b/>
        <sz val="12"/>
        <color theme="1"/>
        <rFont val="Arial"/>
        <family val="2"/>
      </rPr>
      <t xml:space="preserve">Hoja: 1.2 Evaluación MAE </t>
    </r>
    <r>
      <rPr>
        <sz val="12"/>
        <color theme="1"/>
        <rFont val="Arial"/>
        <family val="2"/>
      </rPr>
      <t xml:space="preserve">desde la cual  se presentan los elementos  a ser calificados. 
Además incluye campos editables para el diligenciamiento de la evaluación con las siguientes columnas : 
</t>
    </r>
    <r>
      <rPr>
        <b/>
        <sz val="12"/>
        <color theme="1"/>
        <rFont val="Arial"/>
        <family val="2"/>
      </rPr>
      <t>Puntaje</t>
    </r>
    <r>
      <rPr>
        <sz val="12"/>
        <color theme="1"/>
        <rFont val="Arial"/>
        <family val="2"/>
      </rPr>
      <t xml:space="preserve"> (Lista de selección) para asignar la calificación correspondiente;
</t>
    </r>
    <r>
      <rPr>
        <b/>
        <sz val="12"/>
        <color theme="1"/>
        <rFont val="Arial"/>
        <family val="2"/>
      </rPr>
      <t>Justificación</t>
    </r>
    <r>
      <rPr>
        <sz val="12"/>
        <color theme="1"/>
        <rFont val="Arial"/>
        <family val="2"/>
      </rPr>
      <t xml:space="preserve"> del puntaje otorgado; y
</t>
    </r>
    <r>
      <rPr>
        <b/>
        <sz val="12"/>
        <color theme="1"/>
        <rFont val="Arial"/>
        <family val="2"/>
      </rPr>
      <t xml:space="preserve">Evidencias </t>
    </r>
    <r>
      <rPr>
        <sz val="12"/>
        <color theme="1"/>
        <rFont val="Arial"/>
        <family val="2"/>
      </rPr>
      <t xml:space="preserve">asociadas
Nota: Estas columnas son las únicas que se deben modificar
</t>
    </r>
    <r>
      <rPr>
        <b/>
        <sz val="12"/>
        <color theme="1"/>
        <rFont val="Arial"/>
        <family val="2"/>
      </rPr>
      <t xml:space="preserve">
Cada uno de los elementos del cuadro debe ser evaluado de acuerdo con su estado de desarrollo. Para ello deberá asignar el puntaje así</t>
    </r>
    <r>
      <rPr>
        <sz val="12"/>
        <color theme="1"/>
        <rFont val="Arial"/>
        <family val="2"/>
      </rPr>
      <t xml:space="preserve">:
</t>
    </r>
    <r>
      <rPr>
        <b/>
        <sz val="12"/>
        <color theme="1"/>
        <rFont val="Arial"/>
        <family val="2"/>
      </rPr>
      <t>1:</t>
    </r>
    <r>
      <rPr>
        <sz val="12"/>
        <color theme="1"/>
        <rFont val="Arial"/>
        <family val="2"/>
      </rPr>
      <t xml:space="preserve">   Cumple, lo tiene o lo hace.
</t>
    </r>
    <r>
      <rPr>
        <b/>
        <sz val="12"/>
        <color theme="1"/>
        <rFont val="Arial"/>
        <family val="2"/>
      </rPr>
      <t>0,5:</t>
    </r>
    <r>
      <rPr>
        <sz val="12"/>
        <color theme="1"/>
        <rFont val="Arial"/>
        <family val="2"/>
      </rPr>
      <t xml:space="preserve">  Acciones en ejecución para cumplir el elemento , no esta completo o lo está haciendo parcialmente.
</t>
    </r>
    <r>
      <rPr>
        <b/>
        <sz val="12"/>
        <color theme="1"/>
        <rFont val="Arial"/>
        <family val="2"/>
      </rPr>
      <t>0:</t>
    </r>
    <r>
      <rPr>
        <sz val="12"/>
        <color theme="1"/>
        <rFont val="Arial"/>
        <family val="2"/>
      </rPr>
      <t xml:space="preserve">  No cumple: No lo tiene, o no lo hace.
Para asignar el puntaje a cada uno de los elementos, ubíquese en la columna "puntaje" y seleccione de la lista desplegable la opción que corresponda. 
En la columna "justificación" escriba la razón por la cual se asignó el puntaje seleccionado.
En la columna "Evidencias" referencie los documentos o artefactos  que permiten evidenciar el estado calificado. 
Ver el ejemplo de diligenciamiento en la siguiente ilustración: </t>
    </r>
  </si>
  <si>
    <r>
      <rPr>
        <b/>
        <sz val="14"/>
        <color theme="1"/>
        <rFont val="Arial"/>
        <family val="2"/>
      </rPr>
      <t>Paso 3.  Visualice los puntajes en la hoja 1.1 Atributos MAE</t>
    </r>
    <r>
      <rPr>
        <b/>
        <sz val="12"/>
        <color theme="1"/>
        <rFont val="Arial"/>
        <family val="2"/>
      </rPr>
      <t xml:space="preserve">
</t>
    </r>
    <r>
      <rPr>
        <sz val="12"/>
        <color theme="1"/>
        <rFont val="Arial"/>
        <family val="2"/>
      </rPr>
      <t xml:space="preserve">Los puntajes asignados en el cuadro de </t>
    </r>
    <r>
      <rPr>
        <b/>
        <sz val="12"/>
        <color theme="1"/>
        <rFont val="Arial"/>
        <family val="2"/>
      </rPr>
      <t>1.2.Evaluación MAE</t>
    </r>
    <r>
      <rPr>
        <sz val="12"/>
        <color theme="1"/>
        <rFont val="Arial"/>
        <family val="2"/>
      </rPr>
      <t xml:space="preserve"> se verán reflejados en la </t>
    </r>
    <r>
      <rPr>
        <b/>
        <sz val="12"/>
        <color theme="1"/>
        <rFont val="Arial"/>
        <family val="2"/>
      </rPr>
      <t>Hoja 1.1 Atributos MAE</t>
    </r>
    <r>
      <rPr>
        <sz val="12"/>
        <color theme="1"/>
        <rFont val="Arial"/>
        <family val="2"/>
      </rPr>
      <t>, en esta hoja hay una visual de todos los elementos organizados por etapas y nivel de madurez en el que se deben cumplir.  El cuadro solo es informativo y a partir de el se generan los cálculos que luego presentan el resultado de la evaluación.  
No se debe realizar ninguna acción sobre este cuadro. Puede filtrar información o generar otro tipo de informes de su interés a partir de el,  por ejemplo con la generación de tablas dinámicas por etapas.</t>
    </r>
    <r>
      <rPr>
        <b/>
        <sz val="12"/>
        <color theme="1"/>
        <rFont val="Arial"/>
        <family val="2"/>
      </rPr>
      <t xml:space="preserve">
Ilustración: Hoja 1.1.Atributos MAE</t>
    </r>
    <r>
      <rPr>
        <sz val="12"/>
        <color theme="1"/>
        <rFont val="Arial"/>
        <family val="2"/>
      </rPr>
      <t xml:space="preserve"> filtrada por Etapa 1</t>
    </r>
  </si>
  <si>
    <r>
      <t xml:space="preserve">Recuerde que la descripción de dimensiones y atributos se encuentra en la </t>
    </r>
    <r>
      <rPr>
        <b/>
        <sz val="12"/>
        <color theme="1"/>
        <rFont val="Arial"/>
        <family val="2"/>
      </rPr>
      <t>hoja Modelo de Madurez</t>
    </r>
  </si>
  <si>
    <r>
      <rPr>
        <b/>
        <sz val="14"/>
        <color theme="1"/>
        <rFont val="Arial"/>
        <family val="2"/>
      </rPr>
      <t xml:space="preserve">Paso 4. Visualice los resultados por dimensiones en la hoja 1.MAE. </t>
    </r>
    <r>
      <rPr>
        <sz val="12"/>
        <color theme="1"/>
        <rFont val="Arial"/>
        <family val="2"/>
      </rPr>
      <t xml:space="preserve">
El instrumento toma los puntajes asignados a cada elemento, desde la hoja de 1.1 Atributos MAE y realiza el cálculo del promedio para cada uno de los elementos en cada uno de los niveles de madurez en los que el elemento se encuentra presente.  
</t>
    </r>
    <r>
      <rPr>
        <b/>
        <sz val="12"/>
        <color theme="1"/>
        <rFont val="Arial"/>
        <family val="2"/>
      </rPr>
      <t xml:space="preserve">Resultados por dimensión: </t>
    </r>
    <r>
      <rPr>
        <sz val="12"/>
        <color theme="1"/>
        <rFont val="Arial"/>
        <family val="2"/>
      </rPr>
      <t xml:space="preserve">
Para cada una de las dimensiones de evaluación, se presenta una tabla de resultados con los cálculos realizados por atributos dentro de la dimensión y los elementos que agrupa. 
Como se mencionó, el instrumento evalúa el porcentaje de cumplimiento del elemento en cada etapa o nivel de madurez, por lo tanto el resultado en este cuadro, se presenta con el nivel de cumplimiento de cada atributo en todos los niveles de madurez. Así, por ejemplo, puede suceder que el atributo este parcialmente cumpliendo en uno o varios niveles de madurez
Al final, el puntaje de cumplimiento del atributo se calcula como el promedio de los valores obtenidos por ese atributo en todos los 5 niveles de madurez, como se puede observar en la siguiente Ilustración:
</t>
    </r>
    <r>
      <rPr>
        <b/>
        <sz val="12"/>
        <color theme="1"/>
        <rFont val="Arial"/>
        <family val="2"/>
      </rPr>
      <t>Ilustración. Hoja 1.MAE, Resultado por dimensión</t>
    </r>
  </si>
  <si>
    <r>
      <t xml:space="preserve">El resultado por dimensión además de la tabla de datos, presenta </t>
    </r>
    <r>
      <rPr>
        <b/>
        <sz val="12"/>
        <color theme="1"/>
        <rFont val="Arial"/>
        <family val="2"/>
      </rPr>
      <t xml:space="preserve">un gráfico </t>
    </r>
    <r>
      <rPr>
        <sz val="12"/>
        <color theme="1"/>
        <rFont val="Arial"/>
        <family val="2"/>
      </rPr>
      <t>con la ubicación de los puntajes obtenidos para cada uno de los atributos, esto para facilitar la lectura de los resultados de la dimensión. 
Por último el instrumento realiza el calculo del</t>
    </r>
    <r>
      <rPr>
        <b/>
        <sz val="12"/>
        <color theme="1"/>
        <rFont val="Arial"/>
        <family val="2"/>
      </rPr>
      <t xml:space="preserve"> puntaje total de la dimensión</t>
    </r>
    <r>
      <rPr>
        <sz val="12"/>
        <color theme="1"/>
        <rFont val="Arial"/>
        <family val="2"/>
      </rPr>
      <t xml:space="preserve">, el cual se presenta en el recuadro rosado. Este valor luego se utiliza para calcular el valor que representa la madurez consolidada de la Arquitectura Empresarial. </t>
    </r>
  </si>
  <si>
    <r>
      <rPr>
        <b/>
        <sz val="14"/>
        <color theme="1"/>
        <rFont val="Arial"/>
        <family val="2"/>
      </rPr>
      <t xml:space="preserve">Paso 5. Visualice el resultado consolidado de la Madurez de la Arquitectura Empresarial en la hoja 1.MAE. </t>
    </r>
    <r>
      <rPr>
        <sz val="12"/>
        <color theme="1"/>
        <rFont val="Arial"/>
        <family val="2"/>
      </rPr>
      <t xml:space="preserve">
El instrumento toma los puntajes calculados para cada dimensión dentro de la AE y genera, a partir de su promedio, el puntaje que representa la madurez de la Arquitectura Empresarial.
El puntaje obtenido en cada dimensión es presentado y ubicado en una tabla de datos, en la columna del nivel de madurez que corresponde, además se  acompaña de una gráfica que facilita la visualización de los valores. Ver la siguiente ilustración.
</t>
    </r>
    <r>
      <rPr>
        <b/>
        <sz val="12"/>
        <color theme="1"/>
        <rFont val="Arial"/>
        <family val="2"/>
      </rPr>
      <t>Nota:</t>
    </r>
    <r>
      <rPr>
        <sz val="12"/>
        <color theme="1"/>
        <rFont val="Arial"/>
        <family val="2"/>
      </rPr>
      <t xml:space="preserve"> No se debe hacer ningun acción sobre esta hoja, su propósito es presentar los resultados.
</t>
    </r>
    <r>
      <rPr>
        <b/>
        <sz val="12"/>
        <color theme="1"/>
        <rFont val="Arial"/>
        <family val="2"/>
      </rPr>
      <t>Ilustración. Hoja 1.MAE, Resultado consolidado Madurez Arquitectura Empresarial</t>
    </r>
  </si>
  <si>
    <t>Evaluación de Madurez de la Gestión y Gobierno de TI</t>
  </si>
  <si>
    <r>
      <t xml:space="preserve">Con este instrumento se evalúa el nivel de madurez en términos del rol de TI en la entidad  y qué tan bien se desempeña en ese rol esperado. Se evalúa la contribución de TI a la estrategia y la efectividad de modelo operativo institucional para lograr los objetivos estratégicos.
La evaluación se realiza sobre el cumplimiento o realización de los </t>
    </r>
    <r>
      <rPr>
        <b/>
        <sz val="12"/>
        <color theme="1"/>
        <rFont val="Arial"/>
        <family val="2"/>
      </rPr>
      <t>"criterios"</t>
    </r>
    <r>
      <rPr>
        <sz val="12"/>
        <color theme="1"/>
        <rFont val="Arial"/>
        <family val="2"/>
      </rPr>
      <t xml:space="preserve"> definidos por </t>
    </r>
    <r>
      <rPr>
        <b/>
        <sz val="12"/>
        <color theme="1"/>
        <rFont val="Arial"/>
        <family val="2"/>
      </rPr>
      <t>"elemento"</t>
    </r>
    <r>
      <rPr>
        <sz val="12"/>
        <color theme="1"/>
        <rFont val="Arial"/>
        <family val="2"/>
      </rPr>
      <t xml:space="preserve"> en cada nivel de madurez indicado. Por lo tanto, el criterio de evaluación de cada </t>
    </r>
    <r>
      <rPr>
        <b/>
        <sz val="12"/>
        <color theme="1"/>
        <rFont val="Arial"/>
        <family val="2"/>
      </rPr>
      <t xml:space="preserve">"criterio" </t>
    </r>
    <r>
      <rPr>
        <sz val="12"/>
        <color theme="1"/>
        <rFont val="Arial"/>
        <family val="2"/>
      </rPr>
      <t xml:space="preserve">dentro del </t>
    </r>
    <r>
      <rPr>
        <b/>
        <sz val="12"/>
        <color theme="1"/>
        <rFont val="Arial"/>
        <family val="2"/>
      </rPr>
      <t>"elemento"</t>
    </r>
    <r>
      <rPr>
        <sz val="12"/>
        <color theme="1"/>
        <rFont val="Arial"/>
        <family val="2"/>
      </rPr>
      <t xml:space="preserve"> esta dado por su nivel (porcentaje) de cumplimiento o realización: cumple, cumple parcialmente o no cumple.</t>
    </r>
  </si>
  <si>
    <r>
      <rPr>
        <b/>
        <sz val="14"/>
        <color theme="1"/>
        <rFont val="Arial"/>
        <family val="2"/>
      </rPr>
      <t>Paso 1. Reconocimiento del modelo de madurez de Gestión y Gobierno de TI</t>
    </r>
    <r>
      <rPr>
        <sz val="12"/>
        <color theme="1"/>
        <rFont val="Arial"/>
        <family val="2"/>
      </rPr>
      <t xml:space="preserve">
Realice el reconocimiento de la estructura conceptual del modelo de madurez de Gestión y Gobierno de TI para que se familiarice con los conceptos que se van a evaluar en la </t>
    </r>
    <r>
      <rPr>
        <b/>
        <sz val="12"/>
        <color theme="1"/>
        <rFont val="Arial"/>
        <family val="2"/>
      </rPr>
      <t xml:space="preserve">Hoja. Modelo de Madurez </t>
    </r>
  </si>
  <si>
    <r>
      <rPr>
        <b/>
        <sz val="14"/>
        <color theme="1"/>
        <rFont val="Arial"/>
        <family val="2"/>
      </rPr>
      <t>Paso 2. Diligencie la evaluación en la hoja 2.2 Evaluación MGGTI</t>
    </r>
    <r>
      <rPr>
        <sz val="12"/>
        <color theme="1"/>
        <rFont val="Arial"/>
        <family val="2"/>
      </rPr>
      <t xml:space="preserve">
Para llevar a cabo la evaluación, deberá diligenciar la información en la </t>
    </r>
    <r>
      <rPr>
        <b/>
        <sz val="12"/>
        <color theme="1"/>
        <rFont val="Arial"/>
        <family val="2"/>
      </rPr>
      <t xml:space="preserve">Hoja: 2.2 Evaluación MGGTI </t>
    </r>
    <r>
      <rPr>
        <sz val="12"/>
        <color theme="1"/>
        <rFont val="Arial"/>
        <family val="2"/>
      </rPr>
      <t xml:space="preserve">desde la cual  se presentan los elementos  a ser calificados. 
Además incluye campos editables para el diligenciamiento de la evaluación con las siguientes columnas : 
</t>
    </r>
    <r>
      <rPr>
        <b/>
        <sz val="12"/>
        <color theme="1"/>
        <rFont val="Arial"/>
        <family val="2"/>
      </rPr>
      <t>Puntaje</t>
    </r>
    <r>
      <rPr>
        <sz val="12"/>
        <color theme="1"/>
        <rFont val="Arial"/>
        <family val="2"/>
      </rPr>
      <t xml:space="preserve"> (Lista de selección) para asignar la calificación correspondiente;
</t>
    </r>
    <r>
      <rPr>
        <b/>
        <sz val="12"/>
        <color theme="1"/>
        <rFont val="Arial"/>
        <family val="2"/>
      </rPr>
      <t>Justificación</t>
    </r>
    <r>
      <rPr>
        <sz val="12"/>
        <color theme="1"/>
        <rFont val="Arial"/>
        <family val="2"/>
      </rPr>
      <t xml:space="preserve"> del puntaje otorgado; y
</t>
    </r>
    <r>
      <rPr>
        <b/>
        <sz val="12"/>
        <color theme="1"/>
        <rFont val="Arial"/>
        <family val="2"/>
      </rPr>
      <t xml:space="preserve">Evidencias </t>
    </r>
    <r>
      <rPr>
        <sz val="12"/>
        <color theme="1"/>
        <rFont val="Arial"/>
        <family val="2"/>
      </rPr>
      <t xml:space="preserve">asociadas
Nota: Estas columnas son las únicas que se deben modificar
</t>
    </r>
    <r>
      <rPr>
        <b/>
        <sz val="12"/>
        <color theme="1"/>
        <rFont val="Arial"/>
        <family val="2"/>
      </rPr>
      <t xml:space="preserve">
</t>
    </r>
    <r>
      <rPr>
        <sz val="12"/>
        <color theme="1"/>
        <rFont val="Arial"/>
        <family val="2"/>
      </rPr>
      <t>Cada uno de los</t>
    </r>
    <r>
      <rPr>
        <b/>
        <sz val="12"/>
        <color theme="1"/>
        <rFont val="Arial"/>
        <family val="2"/>
      </rPr>
      <t xml:space="preserve"> elementos</t>
    </r>
    <r>
      <rPr>
        <sz val="12"/>
        <color theme="1"/>
        <rFont val="Arial"/>
        <family val="2"/>
      </rPr>
      <t xml:space="preserve"> del cuadro debe ser evaluado de acuerdo con su estado de desarrollo. Para ello deberá asignar el puntaje así:
</t>
    </r>
    <r>
      <rPr>
        <b/>
        <sz val="12"/>
        <color theme="1"/>
        <rFont val="Arial"/>
        <family val="2"/>
      </rPr>
      <t>1:</t>
    </r>
    <r>
      <rPr>
        <sz val="12"/>
        <color theme="1"/>
        <rFont val="Arial"/>
        <family val="2"/>
      </rPr>
      <t xml:space="preserve">   Cumple, lo tiene o lo hace.
</t>
    </r>
    <r>
      <rPr>
        <b/>
        <sz val="12"/>
        <color theme="1"/>
        <rFont val="Arial"/>
        <family val="2"/>
      </rPr>
      <t>0,5:</t>
    </r>
    <r>
      <rPr>
        <sz val="12"/>
        <color theme="1"/>
        <rFont val="Arial"/>
        <family val="2"/>
      </rPr>
      <t xml:space="preserve">  Acciones en ejecución para cumplir el elemento , no esta completo o lo está haciendo parcialmente.
</t>
    </r>
    <r>
      <rPr>
        <b/>
        <sz val="12"/>
        <color theme="1"/>
        <rFont val="Arial"/>
        <family val="2"/>
      </rPr>
      <t>0:</t>
    </r>
    <r>
      <rPr>
        <sz val="12"/>
        <color theme="1"/>
        <rFont val="Arial"/>
        <family val="2"/>
      </rPr>
      <t xml:space="preserve">  No cumple: No lo tiene, o no lo hace.
Para asignar el puntaje a cada uno de los elementos, ubíquese en la columna "puntaje" y seleccione de la lista desplegable la opción que corresponda. 
En la columna "justificación" escriba la razón por la cual se asignó el puntaje seleccionado.
En la columna "Evidencias" referencie los documentos o artefactos  que permiten evidenciar el estado calificado. 
Ver el ejemplo de diligenciamiento en la siguiente ilustración, donde se evaluan todos los </t>
    </r>
    <r>
      <rPr>
        <b/>
        <sz val="12"/>
        <color theme="1"/>
        <rFont val="Arial"/>
        <family val="2"/>
      </rPr>
      <t>criterios</t>
    </r>
    <r>
      <rPr>
        <sz val="12"/>
        <color theme="1"/>
        <rFont val="Arial"/>
        <family val="2"/>
      </rPr>
      <t xml:space="preserve"> definidos para el </t>
    </r>
    <r>
      <rPr>
        <b/>
        <sz val="12"/>
        <color theme="1"/>
        <rFont val="Arial"/>
        <family val="2"/>
      </rPr>
      <t>elemento</t>
    </r>
    <r>
      <rPr>
        <sz val="12"/>
        <color theme="1"/>
        <rFont val="Arial"/>
        <family val="2"/>
      </rPr>
      <t xml:space="preserve"> "Portafolio de Proyectos de TI y Hoja de Ruta"</t>
    </r>
  </si>
  <si>
    <r>
      <rPr>
        <b/>
        <sz val="14"/>
        <color theme="1"/>
        <rFont val="Arial"/>
        <family val="2"/>
      </rPr>
      <t>Paso 3.  Visualice los puntajes en la hoja 2.1 Atributos MGGTI</t>
    </r>
    <r>
      <rPr>
        <b/>
        <sz val="12"/>
        <color theme="1"/>
        <rFont val="Arial"/>
        <family val="2"/>
      </rPr>
      <t xml:space="preserve">
</t>
    </r>
    <r>
      <rPr>
        <sz val="12"/>
        <color theme="1"/>
        <rFont val="Arial"/>
        <family val="2"/>
      </rPr>
      <t>Los puntajes asignados en el cuadro de 2</t>
    </r>
    <r>
      <rPr>
        <b/>
        <sz val="12"/>
        <color theme="1"/>
        <rFont val="Arial"/>
        <family val="2"/>
      </rPr>
      <t>.2.Evaluación MGGTI</t>
    </r>
    <r>
      <rPr>
        <sz val="12"/>
        <color theme="1"/>
        <rFont val="Arial"/>
        <family val="2"/>
      </rPr>
      <t xml:space="preserve"> se verán reflejados en la </t>
    </r>
    <r>
      <rPr>
        <b/>
        <sz val="12"/>
        <color theme="1"/>
        <rFont val="Arial"/>
        <family val="2"/>
      </rPr>
      <t>Hoja 2.1 Atributos MGGTI</t>
    </r>
    <r>
      <rPr>
        <sz val="12"/>
        <color theme="1"/>
        <rFont val="Arial"/>
        <family val="2"/>
      </rPr>
      <t>, en esta hoja hay una visual de todos los elementos descritos en varios criterios dados por el nivel de madurez en el que se deben cumplir.  El cuadro solo es informativo y a partir de el se generan los cálculos que luego presentan el resultado de la evaluación.  
No se debe realizar ninguna acción sobre este cuadro. Puede filtrar información o generar otro tipo de informes de su interés a partir de el,  por ejemplo con la generación de tablas dinámicas por dominio y elementos.</t>
    </r>
    <r>
      <rPr>
        <b/>
        <sz val="12"/>
        <color theme="1"/>
        <rFont val="Arial"/>
        <family val="2"/>
      </rPr>
      <t xml:space="preserve">
</t>
    </r>
    <r>
      <rPr>
        <b/>
        <sz val="11"/>
        <color theme="1"/>
        <rFont val="Arial"/>
        <family val="2"/>
      </rPr>
      <t xml:space="preserve">Ilustración: Hoja 2.1.Atributos MGGTI, </t>
    </r>
    <r>
      <rPr>
        <sz val="11"/>
        <color theme="1"/>
        <rFont val="Arial"/>
        <family val="2"/>
      </rPr>
      <t xml:space="preserve">se presentan los </t>
    </r>
    <r>
      <rPr>
        <b/>
        <sz val="11"/>
        <color theme="1"/>
        <rFont val="Arial"/>
        <family val="2"/>
      </rPr>
      <t>elementos</t>
    </r>
    <r>
      <rPr>
        <sz val="11"/>
        <color theme="1"/>
        <rFont val="Arial"/>
        <family val="2"/>
      </rPr>
      <t xml:space="preserve">, cada uno con </t>
    </r>
    <r>
      <rPr>
        <b/>
        <sz val="11"/>
        <color theme="1"/>
        <rFont val="Arial"/>
        <family val="2"/>
      </rPr>
      <t xml:space="preserve">criterios </t>
    </r>
    <r>
      <rPr>
        <sz val="11"/>
        <color theme="1"/>
        <rFont val="Arial"/>
        <family val="2"/>
      </rPr>
      <t xml:space="preserve">a partir de los cuales se obtiene la aproximación del nivel de madurez en el que se encuentran. Los elementos están asociados a los dominios de la gestión y gobierno de TI y a los atributos definidos para cada dominio. </t>
    </r>
  </si>
  <si>
    <r>
      <rPr>
        <b/>
        <sz val="14"/>
        <color theme="1"/>
        <rFont val="Arial"/>
        <family val="2"/>
      </rPr>
      <t xml:space="preserve">Paso 4. Visualice los resultados por dimensiones en la hoja 2.MGGTI. </t>
    </r>
    <r>
      <rPr>
        <sz val="12"/>
        <color theme="1"/>
        <rFont val="Arial"/>
        <family val="2"/>
      </rPr>
      <t xml:space="preserve">
El instrumento toma desde la hoja de 2.1 Atributos MGGTI, los puntajes asignados a cada atributo de cada elemento,  y realiza el cálculo del promedio del puntaje otorgado  a los atributos de los elementos asociados a cada atributo y en cada uno de los niveles de madurez en los que el elemento se encuentra presente.  
</t>
    </r>
    <r>
      <rPr>
        <b/>
        <sz val="12"/>
        <color theme="1"/>
        <rFont val="Arial"/>
        <family val="2"/>
      </rPr>
      <t xml:space="preserve">Resultados por dimensión: </t>
    </r>
    <r>
      <rPr>
        <sz val="12"/>
        <color theme="1"/>
        <rFont val="Arial"/>
        <family val="2"/>
      </rPr>
      <t xml:space="preserve">
Para cada uno de las dimensiones de evaluación, se presenta una tabla de resultados con los cálculos realizados por atributos dentro de la dimensión y los elementos que agrupa. 
Como se mencionó, el instrumento evalúa el porcentaje de cumplimiento del elemento en cada  nivel de madurez, por lo tanto el resultado en este cuadro se presenta con el nivel de cumplimiento de cada atributo en todos los niveles de madurez. Así, por ejemplo puede suceder que el atributo este parcialmente cumpliendo en uno o varios niveles.  
Al final el puntaje de cumplimiento del atributo se calcula como el promedio de los valores obtenidos por ese atributo en todos los 5 niveles de madurez, como se puede observar en la siguiente Ilustración:
</t>
    </r>
    <r>
      <rPr>
        <b/>
        <sz val="12"/>
        <color theme="1"/>
        <rFont val="Arial"/>
        <family val="2"/>
      </rPr>
      <t>Ilustración. Hoja 2.MGGTI, Resultado por dimensión</t>
    </r>
    <r>
      <rPr>
        <sz val="12"/>
        <color theme="1"/>
        <rFont val="Arial"/>
        <family val="2"/>
      </rPr>
      <t xml:space="preserve">. Se puede observar por ejemplo: para el  atributo "Alineación estratégica" el cálculo de la madurez a partir de sus elementos, arroja que se cumple en en su totalidad en los niveles 1 al 4 y en el nivel 5, se está cumpliendo parcialmente. Así, el promedio de los puntajes obtenidos en todos los niveles, del 1 al 5, es de 4,75. Este valor a su vez se puede interpretar como que el atributo se encuenta en el nivel 5- optimizado. </t>
    </r>
  </si>
  <si>
    <r>
      <t xml:space="preserve">El resultado por dimensión además de la tabla de datos, presenta </t>
    </r>
    <r>
      <rPr>
        <b/>
        <sz val="12"/>
        <color theme="1"/>
        <rFont val="Arial"/>
        <family val="2"/>
      </rPr>
      <t xml:space="preserve">un gráfico </t>
    </r>
    <r>
      <rPr>
        <sz val="12"/>
        <color theme="1"/>
        <rFont val="Arial"/>
        <family val="2"/>
      </rPr>
      <t>con la ubicación de los puntajes obtenidos para cada uno de los atributos, esto para facilitar la lectura de los resultados de la dimensión. 
Por último el instrumento realiza el cálculo del</t>
    </r>
    <r>
      <rPr>
        <b/>
        <sz val="12"/>
        <color theme="1"/>
        <rFont val="Arial"/>
        <family val="2"/>
      </rPr>
      <t xml:space="preserve"> puntaje total de la dimensión</t>
    </r>
    <r>
      <rPr>
        <sz val="12"/>
        <color theme="1"/>
        <rFont val="Arial"/>
        <family val="2"/>
      </rPr>
      <t>, el cual se presenta en el recuadro rosado. Este valor luego se utiliza para calcular el valor que representará  la madurez consolidada de la Gestión y Gobierno de TI</t>
    </r>
  </si>
  <si>
    <r>
      <rPr>
        <b/>
        <sz val="14"/>
        <color theme="1"/>
        <rFont val="Arial"/>
        <family val="2"/>
      </rPr>
      <t xml:space="preserve">Paso 5. Visualice el resultado consolidado de la Madurez de la Gestión y Gobierno de TI en la hoja 2.MGGTI. </t>
    </r>
    <r>
      <rPr>
        <sz val="12"/>
        <color theme="1"/>
        <rFont val="Arial"/>
        <family val="2"/>
      </rPr>
      <t xml:space="preserve">
El instrumento toma los puntajes calculados para cada dimensión dentro de la Gestión y Gobierno de TI  y genera, a partir de su promedio, el puntaje que representa la madurez de la Gestión y Gobierno de TI 
El puntaje obtenido en cada dimensión es presentado y ubicado en una tabla de datos, en la columna del nivel de madurez que corresponde, además se  acompaña de una gráfica que facilita la visualización de los valores. Ver la siguiente ilustración.
</t>
    </r>
    <r>
      <rPr>
        <b/>
        <sz val="12"/>
        <color theme="1"/>
        <rFont val="Arial"/>
        <family val="2"/>
      </rPr>
      <t>Nota:</t>
    </r>
    <r>
      <rPr>
        <sz val="12"/>
        <color theme="1"/>
        <rFont val="Arial"/>
        <family val="2"/>
      </rPr>
      <t xml:space="preserve"> No se debe hacer ningun acción sobre esta hoja, su propósito es presentar los resultados.
</t>
    </r>
    <r>
      <rPr>
        <b/>
        <sz val="12"/>
        <color theme="1"/>
        <rFont val="Arial"/>
        <family val="2"/>
      </rPr>
      <t>Ilustración. Hoja 2.MGGTI, Resultado consolidado Madurez de Gestión y Gobierno de TI</t>
    </r>
  </si>
  <si>
    <t>Evaluación de Madurez de la Gestión de Proyectos de TI</t>
  </si>
  <si>
    <r>
      <t xml:space="preserve">Con este instrumento se evalúa y mide el nivel de desarrollo de la práctica de gestión de proyectos con la que se busca garantizar el éxito de los proyectos de TI
La evaluación se realiza sobre los </t>
    </r>
    <r>
      <rPr>
        <b/>
        <sz val="12"/>
        <color theme="1"/>
        <rFont val="Arial"/>
        <family val="2"/>
      </rPr>
      <t>"elementos"</t>
    </r>
    <r>
      <rPr>
        <sz val="12"/>
        <color theme="1"/>
        <rFont val="Arial"/>
        <family val="2"/>
      </rPr>
      <t xml:space="preserve"> definidos en el modelo de madurez y que permiten obtener la información del nivel de desarrollo de las actividades o capacidades de gestión de proyectos. Cada </t>
    </r>
    <r>
      <rPr>
        <b/>
        <sz val="12"/>
        <color theme="1"/>
        <rFont val="Arial"/>
        <family val="2"/>
      </rPr>
      <t>elemento</t>
    </r>
    <r>
      <rPr>
        <sz val="12"/>
        <color theme="1"/>
        <rFont val="Arial"/>
        <family val="2"/>
      </rPr>
      <t xml:space="preserve"> tiene un </t>
    </r>
    <r>
      <rPr>
        <b/>
        <sz val="12"/>
        <color theme="1"/>
        <rFont val="Arial"/>
        <family val="2"/>
      </rPr>
      <t xml:space="preserve">criterio </t>
    </r>
    <r>
      <rPr>
        <sz val="12"/>
        <color theme="1"/>
        <rFont val="Arial"/>
        <family val="2"/>
      </rPr>
      <t xml:space="preserve">que lo describe y sobre el cual se debe establecer el estado de desarrollo del elemento.  Dado que el MGGTI se orienta a contar con procedimientos o mecanismos estandarizados y optimizados para la gestión de proyectos de TI, la evaluación de </t>
    </r>
    <r>
      <rPr>
        <b/>
        <sz val="12"/>
        <color theme="1"/>
        <rFont val="Arial"/>
        <family val="2"/>
      </rPr>
      <t>"cada elemento  y su criterio"</t>
    </r>
    <r>
      <rPr>
        <sz val="12"/>
        <color theme="1"/>
        <rFont val="Arial"/>
        <family val="2"/>
      </rPr>
      <t xml:space="preserve"> estará dado en función del nivel de madurez según la escala de CMMI así: 
1:  Inicial : Poca o ausencia del proceso, el éxito depende de la competencia de las personas
2:  Repetible: disciplina mínima del proceso está en su lugar
3:  Gestionado: los procesos  se establecen y se usan
4:  Manejado: los procesos son cuantificados y controlados
5:  Optimizado: los objetivos de mejora de procesos se cuantifican
</t>
    </r>
  </si>
  <si>
    <r>
      <rPr>
        <b/>
        <sz val="14"/>
        <color theme="1"/>
        <rFont val="Arial"/>
        <family val="2"/>
      </rPr>
      <t>Paso 2. Diligencie la evaluación en la hoja 3.2 Evaluación MGPTI</t>
    </r>
    <r>
      <rPr>
        <sz val="12"/>
        <color theme="1"/>
        <rFont val="Arial"/>
        <family val="2"/>
      </rPr>
      <t xml:space="preserve">
Para llevar a cabo la evaluación, deberá diligenciar la información en la </t>
    </r>
    <r>
      <rPr>
        <b/>
        <sz val="12"/>
        <color theme="1"/>
        <rFont val="Arial"/>
        <family val="2"/>
      </rPr>
      <t xml:space="preserve">Hoja: 3.2 Evaluación MGPTI </t>
    </r>
    <r>
      <rPr>
        <sz val="12"/>
        <color theme="1"/>
        <rFont val="Arial"/>
        <family val="2"/>
      </rPr>
      <t xml:space="preserve">desde la cual  se presentan los elementos  a ser calificados. 
Además incluye campos editables para el diligenciamiento de la evaluación con las siguientes columnas : 
</t>
    </r>
    <r>
      <rPr>
        <b/>
        <sz val="12"/>
        <color theme="1"/>
        <rFont val="Arial"/>
        <family val="2"/>
      </rPr>
      <t>Puntaje</t>
    </r>
    <r>
      <rPr>
        <sz val="12"/>
        <color theme="1"/>
        <rFont val="Arial"/>
        <family val="2"/>
      </rPr>
      <t xml:space="preserve"> (Lista de selección) para asignar la calificación correspondiente;
</t>
    </r>
    <r>
      <rPr>
        <b/>
        <sz val="12"/>
        <color theme="1"/>
        <rFont val="Arial"/>
        <family val="2"/>
      </rPr>
      <t>Justificación</t>
    </r>
    <r>
      <rPr>
        <sz val="12"/>
        <color theme="1"/>
        <rFont val="Arial"/>
        <family val="2"/>
      </rPr>
      <t xml:space="preserve"> del puntaje otorgado; y
</t>
    </r>
    <r>
      <rPr>
        <b/>
        <sz val="12"/>
        <color theme="1"/>
        <rFont val="Arial"/>
        <family val="2"/>
      </rPr>
      <t xml:space="preserve">Evidencias </t>
    </r>
    <r>
      <rPr>
        <sz val="12"/>
        <color theme="1"/>
        <rFont val="Arial"/>
        <family val="2"/>
      </rPr>
      <t xml:space="preserve">asociadas
Nota: Estas columnas son las únicas que se deben modificar
</t>
    </r>
    <r>
      <rPr>
        <b/>
        <sz val="12"/>
        <color theme="1"/>
        <rFont val="Arial"/>
        <family val="2"/>
      </rPr>
      <t xml:space="preserve">
</t>
    </r>
    <r>
      <rPr>
        <sz val="12"/>
        <color theme="1"/>
        <rFont val="Arial"/>
        <family val="2"/>
      </rPr>
      <t xml:space="preserve">Cada uno de los </t>
    </r>
    <r>
      <rPr>
        <b/>
        <sz val="12"/>
        <color theme="1"/>
        <rFont val="Arial"/>
        <family val="2"/>
      </rPr>
      <t>elementos</t>
    </r>
    <r>
      <rPr>
        <sz val="12"/>
        <color theme="1"/>
        <rFont val="Arial"/>
        <family val="2"/>
      </rPr>
      <t xml:space="preserve"> del cuadro debe ser evaluado de acuerdo con el estado de desarrollo del </t>
    </r>
    <r>
      <rPr>
        <b/>
        <sz val="12"/>
        <color theme="1"/>
        <rFont val="Arial"/>
        <family val="2"/>
      </rPr>
      <t xml:space="preserve">criterio </t>
    </r>
    <r>
      <rPr>
        <sz val="12"/>
        <color theme="1"/>
        <rFont val="Arial"/>
        <family val="2"/>
      </rPr>
      <t xml:space="preserve">que describe el elemento. Para ello deberá asignar el puntaje así:
</t>
    </r>
    <r>
      <rPr>
        <b/>
        <sz val="12"/>
        <color theme="1"/>
        <rFont val="Arial"/>
        <family val="2"/>
      </rPr>
      <t xml:space="preserve">1:  Inicial : </t>
    </r>
    <r>
      <rPr>
        <sz val="12"/>
        <color theme="1"/>
        <rFont val="Arial"/>
        <family val="2"/>
      </rPr>
      <t>poca o ausencia del proceso, el éxito depende de la competencia de las personas</t>
    </r>
    <r>
      <rPr>
        <b/>
        <sz val="12"/>
        <color theme="1"/>
        <rFont val="Arial"/>
        <family val="2"/>
      </rPr>
      <t xml:space="preserve">
2:  Repetible: </t>
    </r>
    <r>
      <rPr>
        <sz val="12"/>
        <color theme="1"/>
        <rFont val="Arial"/>
        <family val="2"/>
      </rPr>
      <t>disciplina mínima del proceso está en su lugar</t>
    </r>
    <r>
      <rPr>
        <b/>
        <sz val="12"/>
        <color theme="1"/>
        <rFont val="Arial"/>
        <family val="2"/>
      </rPr>
      <t xml:space="preserve">
3:  Gestionado: </t>
    </r>
    <r>
      <rPr>
        <sz val="12"/>
        <color theme="1"/>
        <rFont val="Arial"/>
        <family val="2"/>
      </rPr>
      <t>los procesos  se establecen y se usan</t>
    </r>
    <r>
      <rPr>
        <b/>
        <sz val="12"/>
        <color theme="1"/>
        <rFont val="Arial"/>
        <family val="2"/>
      </rPr>
      <t xml:space="preserve">
4:  Manejado: </t>
    </r>
    <r>
      <rPr>
        <sz val="12"/>
        <color theme="1"/>
        <rFont val="Arial"/>
        <family val="2"/>
      </rPr>
      <t>los procesos son cuantificados y controlados</t>
    </r>
    <r>
      <rPr>
        <b/>
        <sz val="12"/>
        <color theme="1"/>
        <rFont val="Arial"/>
        <family val="2"/>
      </rPr>
      <t xml:space="preserve">
5:  Optimizado: los objetivos de mejora de procesos se cuantifican.
</t>
    </r>
    <r>
      <rPr>
        <sz val="12"/>
        <color theme="1"/>
        <rFont val="Arial"/>
        <family val="2"/>
      </rPr>
      <t xml:space="preserve">
Para asignar el puntaje a cada uno de los elementos, ubíquese en la columna "puntaje" y seleccione de la lista desplegable la opción que corresponda. 
En la columna "justificación" escriba la razón por la cual se asignó el puntaje seleccionado.
En la columna "Evidencias" referencie los documentos o artefactos  que permiten evidenciar el estado calificado. 
Ver el ejemplo de diligenciamiento en la siguiente ilustración: </t>
    </r>
  </si>
  <si>
    <r>
      <rPr>
        <b/>
        <sz val="14"/>
        <color theme="1"/>
        <rFont val="Arial"/>
        <family val="2"/>
      </rPr>
      <t>Paso 3.  Visualice los puntajes en la hoja 3.1 Atributos MGPTI</t>
    </r>
    <r>
      <rPr>
        <b/>
        <sz val="12"/>
        <color theme="1"/>
        <rFont val="Arial"/>
        <family val="2"/>
      </rPr>
      <t xml:space="preserve">
</t>
    </r>
    <r>
      <rPr>
        <sz val="12"/>
        <color theme="1"/>
        <rFont val="Arial"/>
        <family val="2"/>
      </rPr>
      <t xml:space="preserve">Los puntajes asignados en el cuadro de </t>
    </r>
    <r>
      <rPr>
        <b/>
        <sz val="12"/>
        <color theme="1"/>
        <rFont val="Arial"/>
        <family val="2"/>
      </rPr>
      <t>3.2.Evaluación MGPTI</t>
    </r>
    <r>
      <rPr>
        <sz val="12"/>
        <color theme="1"/>
        <rFont val="Arial"/>
        <family val="2"/>
      </rPr>
      <t xml:space="preserve"> se verán reflejados en la </t>
    </r>
    <r>
      <rPr>
        <b/>
        <sz val="12"/>
        <color theme="1"/>
        <rFont val="Arial"/>
        <family val="2"/>
      </rPr>
      <t>Hoja 3.1 Atributos MGPTI</t>
    </r>
    <r>
      <rPr>
        <sz val="12"/>
        <color theme="1"/>
        <rFont val="Arial"/>
        <family val="2"/>
      </rPr>
      <t>, en ésta hoja hay una visual de todos los elementos organizados por dimensión (dominio del MGPTI) y atributos.  El cuadro solo es informativo y a partir de el se generan los cálculos que luego presentan el resultado de la evaluación.  
No se debe realizar ninguna acción sobre este cuadro. Puede filtrar información o generar otro tipo de informes de su interés a partir de el,  por ejemplo con la generación de tablas dinámicas por dominios del MGPTI</t>
    </r>
    <r>
      <rPr>
        <b/>
        <sz val="12"/>
        <color theme="1"/>
        <rFont val="Arial"/>
        <family val="2"/>
      </rPr>
      <t xml:space="preserve">
Ilustración: Hoja 2.1.Atributos MGPTI</t>
    </r>
    <r>
      <rPr>
        <sz val="12"/>
        <color theme="1"/>
        <rFont val="Arial"/>
        <family val="2"/>
      </rPr>
      <t xml:space="preserve"> se presentan los </t>
    </r>
    <r>
      <rPr>
        <b/>
        <sz val="12"/>
        <color theme="1"/>
        <rFont val="Arial"/>
        <family val="2"/>
      </rPr>
      <t>elementos</t>
    </r>
    <r>
      <rPr>
        <sz val="12"/>
        <color theme="1"/>
        <rFont val="Arial"/>
        <family val="2"/>
      </rPr>
      <t xml:space="preserve">, cada uno con el criterio a partir de los cual se obtiene la aproximación del nivel de madurez en el que se encuentra. Los elementos están asociados a los dominios de la gestión de proyectos de TI y a los atributos definidos para cada dominio. </t>
    </r>
  </si>
  <si>
    <r>
      <rPr>
        <b/>
        <sz val="14"/>
        <color theme="1"/>
        <rFont val="Arial"/>
        <family val="2"/>
      </rPr>
      <t xml:space="preserve">Paso 4. Visualice los resultados por dimensiones en la hoja 3.MGPTI. </t>
    </r>
    <r>
      <rPr>
        <sz val="12"/>
        <color theme="1"/>
        <rFont val="Arial"/>
        <family val="2"/>
      </rPr>
      <t xml:space="preserve">
El instrumento toma los puntajes asignados a cada elemento desde la hoja de 3.1 Atributos MGPTI, y realiza el cálculo del promedio de todos lo elementos que se encuentran agrupados en el atributo y  dimensión (dominio MGPTI) correspondiente.
</t>
    </r>
    <r>
      <rPr>
        <b/>
        <sz val="12"/>
        <color theme="1"/>
        <rFont val="Arial"/>
        <family val="2"/>
      </rPr>
      <t xml:space="preserve">Resultados por dimensión: </t>
    </r>
    <r>
      <rPr>
        <sz val="12"/>
        <color theme="1"/>
        <rFont val="Arial"/>
        <family val="2"/>
      </rPr>
      <t xml:space="preserve">
Para cada una de las dimensiones de evaluación, se presenta una tabla de resultados con los cálculos realizados por atributos dentro de la dimensión y los elementos que agrupa. 
Como se mencionó, el instrumento evalúa nivel de madurez de cada elemento y promedia los niveles de madurez de todos los elementos del atributo,  por lo tanto el resultado en este cuadro, presenta el nivel de madurez del atributo, ubicado en la escala según el valor corresponda.
</t>
    </r>
    <r>
      <rPr>
        <b/>
        <sz val="12"/>
        <color theme="1"/>
        <rFont val="Arial"/>
        <family val="2"/>
      </rPr>
      <t xml:space="preserve">Ilustración. Hoja 3.MGPTI, Resultado por dimensión. </t>
    </r>
    <r>
      <rPr>
        <sz val="12"/>
        <color theme="1"/>
        <rFont val="Arial"/>
        <family val="2"/>
      </rPr>
      <t xml:space="preserve">Se puede observar, por ejemplo, que en la dimensión "Contexto estratégico", el puntaje obtenido para el atributo "Capacidad y gobierno" es 1,20, por lo tanto se ubica en la columna del nivel 2 - repetible. </t>
    </r>
  </si>
  <si>
    <r>
      <t xml:space="preserve">El resultado por dimensión además de la tabla de datos, presenta </t>
    </r>
    <r>
      <rPr>
        <b/>
        <sz val="12"/>
        <color theme="1"/>
        <rFont val="Arial"/>
        <family val="2"/>
      </rPr>
      <t xml:space="preserve">un gráfico </t>
    </r>
    <r>
      <rPr>
        <sz val="12"/>
        <color theme="1"/>
        <rFont val="Arial"/>
        <family val="2"/>
      </rPr>
      <t>con la ubicación de los puntajes obtenidos para cada uno de los atributos, esto para facilitar la lectura de los resultados de la dimensión.  
Por último, el instrumento realiza el cálculo del</t>
    </r>
    <r>
      <rPr>
        <b/>
        <sz val="12"/>
        <color theme="1"/>
        <rFont val="Arial"/>
        <family val="2"/>
      </rPr>
      <t xml:space="preserve"> puntaje total de la dimensión</t>
    </r>
    <r>
      <rPr>
        <sz val="12"/>
        <color theme="1"/>
        <rFont val="Arial"/>
        <family val="2"/>
      </rPr>
      <t>, el cual se presenta en el recuadro rosado. Este valor luego se utiliza para calcular el valor que representará  la madurez consolidada de la Gestión y Gobierno de TI</t>
    </r>
  </si>
  <si>
    <r>
      <rPr>
        <b/>
        <sz val="14"/>
        <color theme="1"/>
        <rFont val="Arial"/>
        <family val="2"/>
      </rPr>
      <t>Paso 5. Visualice el resultado consolidado de la Madurez de la Gestión de Proyectos de TI en la hoja 3.MGPTI</t>
    </r>
    <r>
      <rPr>
        <sz val="12"/>
        <color theme="1"/>
        <rFont val="Arial"/>
        <family val="2"/>
      </rPr>
      <t xml:space="preserve">
El instrumento toma los puntajes calculados para cada dimensión dentro de la Gestión de Proyectos de TI  y genera, a partir de su promedio, el puntaje que representa la madurez de la la Gestión de Proyectos de TI.
El puntaje obtenido en cada dimensión es presentado y ubicado en una tabla de datos, en la columna del nivel de madurez que corresponde, además se  acompaña de una gráfica que facilita la visualización de los valores. Ver la siguiente ilustración.
</t>
    </r>
    <r>
      <rPr>
        <b/>
        <sz val="12"/>
        <color theme="1"/>
        <rFont val="Arial"/>
        <family val="2"/>
      </rPr>
      <t>Nota:</t>
    </r>
    <r>
      <rPr>
        <sz val="12"/>
        <color theme="1"/>
        <rFont val="Arial"/>
        <family val="2"/>
      </rPr>
      <t xml:space="preserve"> No se debe hacer ningun acción sobre esta hoja, su propósito es presentar los resultados.
</t>
    </r>
    <r>
      <rPr>
        <b/>
        <sz val="12"/>
        <color theme="1"/>
        <rFont val="Arial"/>
        <family val="2"/>
      </rPr>
      <t>Ilustración. Hoja 3.MGPTI, Resultado consolidado Madurez Gestión de Proyectos de TI</t>
    </r>
  </si>
  <si>
    <t>3.MGPTI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</si>
</sst>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0" x14ac:knownFonts="1">
    <font>
      <sz val="12"/>
      <color theme="1"/>
      <name val="Calibri"/>
      <family val="2"/>
      <scheme val="minor"/>
    </font>
    <font>
      <b/>
      <sz val="12"/>
      <color theme="1"/>
      <name val="Calibri"/>
      <family val="2"/>
      <scheme val="minor"/>
    </font>
    <font>
      <sz val="12"/>
      <color rgb="FFF754A1"/>
      <name val="Calibri"/>
      <family val="2"/>
      <scheme val="minor"/>
    </font>
    <font>
      <sz val="8"/>
      <name val="Calibri"/>
      <family val="2"/>
      <scheme val="minor"/>
    </font>
    <font>
      <sz val="10"/>
      <color rgb="FF000000"/>
      <name val="Tahoma"/>
      <family val="2"/>
    </font>
    <font>
      <b/>
      <sz val="10"/>
      <color rgb="FF000000"/>
      <name val="Tahoma"/>
      <family val="2"/>
    </font>
    <font>
      <b/>
      <sz val="12"/>
      <color theme="0"/>
      <name val="Calibri"/>
      <family val="2"/>
      <scheme val="minor"/>
    </font>
    <font>
      <sz val="11"/>
      <color theme="1"/>
      <name val="Calibri"/>
      <family val="2"/>
      <scheme val="minor"/>
    </font>
    <font>
      <sz val="11"/>
      <color theme="1"/>
      <name val="Arial"/>
      <family val="2"/>
    </font>
    <font>
      <u/>
      <sz val="11"/>
      <color theme="10"/>
      <name val="Calibri"/>
      <family val="2"/>
      <scheme val="minor"/>
    </font>
    <font>
      <b/>
      <sz val="11"/>
      <color theme="1"/>
      <name val="Arial"/>
      <family val="2"/>
    </font>
    <font>
      <sz val="10.5"/>
      <color rgb="FF000000"/>
      <name val="Arial"/>
      <family val="34"/>
    </font>
    <font>
      <b/>
      <sz val="10.5"/>
      <color rgb="FF000000"/>
      <name val="Arial"/>
      <family val="34"/>
    </font>
    <font>
      <b/>
      <sz val="12"/>
      <color rgb="FF3166CA"/>
      <name val="Calibri"/>
      <family val="2"/>
      <scheme val="minor"/>
    </font>
    <font>
      <sz val="12"/>
      <color theme="2" tint="-0.749992370372631"/>
      <name val="Calibri"/>
      <family val="2"/>
      <scheme val="minor"/>
    </font>
    <font>
      <b/>
      <sz val="12"/>
      <color theme="2" tint="-0.749992370372631"/>
      <name val="Calibri"/>
      <family val="2"/>
      <scheme val="minor"/>
    </font>
    <font>
      <b/>
      <sz val="16"/>
      <color theme="1"/>
      <name val="Calibri"/>
      <family val="2"/>
      <scheme val="minor"/>
    </font>
    <font>
      <b/>
      <sz val="16"/>
      <color theme="0"/>
      <name val="Calibri"/>
      <family val="2"/>
      <scheme val="minor"/>
    </font>
    <font>
      <b/>
      <sz val="9"/>
      <color theme="1"/>
      <name val="Calibri"/>
      <family val="2"/>
      <scheme val="minor"/>
    </font>
    <font>
      <b/>
      <sz val="12"/>
      <color rgb="FF3166CA"/>
      <name val="Arial"/>
      <family val="2"/>
    </font>
    <font>
      <b/>
      <sz val="14"/>
      <color rgb="FF3166CA"/>
      <name val="Arial"/>
      <family val="2"/>
    </font>
    <font>
      <b/>
      <sz val="12"/>
      <color theme="1"/>
      <name val="Arial"/>
      <family val="2"/>
    </font>
    <font>
      <b/>
      <sz val="18"/>
      <color theme="1"/>
      <name val="Arial"/>
      <family val="2"/>
    </font>
    <font>
      <b/>
      <sz val="12"/>
      <color theme="0"/>
      <name val="Arial"/>
      <family val="2"/>
    </font>
    <font>
      <sz val="12"/>
      <color theme="1"/>
      <name val="Arial"/>
      <family val="2"/>
    </font>
    <font>
      <b/>
      <sz val="22"/>
      <color rgb="FF3166CA"/>
      <name val="Calibri"/>
      <family val="2"/>
      <scheme val="minor"/>
    </font>
    <font>
      <sz val="12"/>
      <color rgb="FF000000"/>
      <name val="Calibri"/>
      <family val="2"/>
      <scheme val="minor"/>
    </font>
    <font>
      <b/>
      <sz val="26"/>
      <color rgb="FF3166CA"/>
      <name val="Calibri"/>
      <family val="2"/>
      <scheme val="minor"/>
    </font>
    <font>
      <b/>
      <sz val="48"/>
      <color rgb="FF3166CA"/>
      <name val="Calibri"/>
      <family val="2"/>
      <scheme val="minor"/>
    </font>
    <font>
      <sz val="12"/>
      <color theme="1"/>
      <name val="Calibri"/>
      <family val="2"/>
    </font>
    <font>
      <sz val="11"/>
      <color rgb="FF000000"/>
      <name val="Calibri"/>
      <family val="2"/>
      <scheme val="minor"/>
    </font>
    <font>
      <sz val="12"/>
      <color theme="1"/>
      <name val="Calibri"/>
      <family val="2"/>
      <scheme val="minor"/>
    </font>
    <font>
      <b/>
      <sz val="16"/>
      <color rgb="FFFFFFFF"/>
      <name val="Calibri"/>
      <family val="2"/>
      <scheme val="minor"/>
    </font>
    <font>
      <b/>
      <sz val="9"/>
      <color rgb="FF000000"/>
      <name val="Calibri"/>
      <family val="2"/>
      <scheme val="minor"/>
    </font>
    <font>
      <b/>
      <sz val="12"/>
      <color rgb="FFFFFFFF"/>
      <name val="Calibri"/>
      <family val="2"/>
      <scheme val="minor"/>
    </font>
    <font>
      <b/>
      <sz val="11"/>
      <color rgb="FF3166CA"/>
      <name val="Arial"/>
      <family val="2"/>
    </font>
    <font>
      <sz val="10"/>
      <color theme="1"/>
      <name val="Calibri"/>
      <family val="2"/>
      <scheme val="minor"/>
    </font>
    <font>
      <b/>
      <sz val="10"/>
      <color rgb="FF3166CA"/>
      <name val="Arial"/>
      <family val="2"/>
    </font>
    <font>
      <sz val="10"/>
      <color theme="1"/>
      <name val="Arial"/>
      <family val="2"/>
    </font>
    <font>
      <b/>
      <sz val="10"/>
      <color theme="1"/>
      <name val="Arial"/>
      <family val="2"/>
    </font>
    <font>
      <b/>
      <sz val="16"/>
      <color rgb="FF000000"/>
      <name val="Calibri"/>
      <family val="2"/>
    </font>
    <font>
      <sz val="9"/>
      <color rgb="FF000000"/>
      <name val="Calibri"/>
      <family val="2"/>
    </font>
    <font>
      <sz val="16"/>
      <color rgb="FF000000"/>
      <name val="Calibri"/>
      <family val="2"/>
    </font>
    <font>
      <b/>
      <sz val="18"/>
      <color rgb="FF000000"/>
      <name val="Calibri"/>
      <family val="2"/>
    </font>
    <font>
      <sz val="12"/>
      <color rgb="FF3166CA"/>
      <name val="Calibri"/>
      <family val="2"/>
      <scheme val="minor"/>
    </font>
    <font>
      <b/>
      <sz val="14"/>
      <color rgb="FF3166CA"/>
      <name val="Calibri"/>
      <family val="2"/>
      <scheme val="minor"/>
    </font>
    <font>
      <b/>
      <sz val="24"/>
      <color rgb="FF3166CA"/>
      <name val="Calibri"/>
      <family val="2"/>
      <scheme val="minor"/>
    </font>
    <font>
      <sz val="14"/>
      <color rgb="FF000000"/>
      <name val="Calibri"/>
      <family val="2"/>
    </font>
    <font>
      <b/>
      <sz val="14"/>
      <color rgb="FF000000"/>
      <name val="Calibri"/>
      <family val="2"/>
    </font>
    <font>
      <sz val="14"/>
      <color rgb="FF000000"/>
      <name val="Calibri"/>
      <family val="2"/>
      <scheme val="minor"/>
    </font>
    <font>
      <b/>
      <sz val="12"/>
      <color theme="4" tint="-0.249977111117893"/>
      <name val="Arial"/>
      <family val="2"/>
    </font>
    <font>
      <b/>
      <sz val="14"/>
      <color theme="4" tint="-0.249977111117893"/>
      <name val="Calibri"/>
      <family val="2"/>
      <scheme val="minor"/>
    </font>
    <font>
      <b/>
      <sz val="10"/>
      <color theme="4" tint="-0.249977111117893"/>
      <name val="Arial"/>
      <family val="2"/>
    </font>
    <font>
      <sz val="14"/>
      <color theme="1"/>
      <name val="Calibri"/>
      <family val="2"/>
      <scheme val="minor"/>
    </font>
    <font>
      <b/>
      <sz val="16"/>
      <color rgb="FF3166CA"/>
      <name val="Arial"/>
      <family val="2"/>
    </font>
    <font>
      <b/>
      <sz val="22"/>
      <color theme="1"/>
      <name val="Arial"/>
      <family val="2"/>
    </font>
    <font>
      <b/>
      <sz val="14"/>
      <color theme="1"/>
      <name val="Arial"/>
      <family val="2"/>
    </font>
    <font>
      <b/>
      <sz val="16"/>
      <color theme="4" tint="-0.249977111117893"/>
      <name val="Arial"/>
      <family val="2"/>
    </font>
    <font>
      <b/>
      <sz val="20"/>
      <color rgb="FF000000"/>
      <name val="Calibri"/>
      <family val="2"/>
    </font>
    <font>
      <b/>
      <sz val="14"/>
      <color theme="1"/>
      <name val="Calibri"/>
      <family val="2"/>
      <scheme val="minor"/>
    </font>
  </fonts>
  <fills count="15">
    <fill>
      <patternFill patternType="none"/>
    </fill>
    <fill>
      <patternFill patternType="gray125"/>
    </fill>
    <fill>
      <patternFill patternType="solid">
        <fgColor theme="3" tint="0.79998168889431442"/>
        <bgColor indexed="64"/>
      </patternFill>
    </fill>
    <fill>
      <patternFill patternType="solid">
        <fgColor rgb="FFF854A2"/>
        <bgColor indexed="64"/>
      </patternFill>
    </fill>
    <fill>
      <patternFill patternType="solid">
        <fgColor rgb="FF3166CA"/>
        <bgColor indexed="64"/>
      </patternFill>
    </fill>
    <fill>
      <patternFill patternType="solid">
        <fgColor rgb="FF4D7CD2"/>
        <bgColor indexed="64"/>
      </patternFill>
    </fill>
    <fill>
      <patternFill patternType="solid">
        <fgColor theme="0"/>
        <bgColor indexed="64"/>
      </patternFill>
    </fill>
    <fill>
      <patternFill patternType="solid">
        <fgColor rgb="FFFFFFFF"/>
        <bgColor rgb="FFFFFFFF"/>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4D7CD2"/>
        <bgColor rgb="FF000000"/>
      </patternFill>
    </fill>
    <fill>
      <patternFill patternType="solid">
        <fgColor rgb="FFF854A2"/>
        <bgColor rgb="FF000000"/>
      </patternFill>
    </fill>
    <fill>
      <patternFill patternType="solid">
        <fgColor theme="4" tint="0.79998168889431442"/>
        <bgColor indexed="64"/>
      </patternFill>
    </fill>
    <fill>
      <patternFill patternType="solid">
        <fgColor theme="4" tint="0.59999389629810485"/>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rgb="FF3166CA"/>
      </left>
      <right style="thin">
        <color rgb="FF3166CA"/>
      </right>
      <top style="thin">
        <color rgb="FF3166CA"/>
      </top>
      <bottom style="thin">
        <color rgb="FF3166CA"/>
      </bottom>
      <diagonal/>
    </border>
    <border>
      <left style="thin">
        <color indexed="64"/>
      </left>
      <right/>
      <top style="thin">
        <color rgb="FF3166CA"/>
      </top>
      <bottom/>
      <diagonal/>
    </border>
    <border>
      <left/>
      <right/>
      <top style="thin">
        <color rgb="FF3166CA"/>
      </top>
      <bottom/>
      <diagonal/>
    </border>
    <border>
      <left/>
      <right style="thin">
        <color rgb="FF3166CA"/>
      </right>
      <top style="thin">
        <color rgb="FF3166CA"/>
      </top>
      <bottom/>
      <diagonal/>
    </border>
    <border>
      <left style="thin">
        <color rgb="FF3166CA"/>
      </left>
      <right style="thin">
        <color rgb="FF3166CA"/>
      </right>
      <top/>
      <bottom/>
      <diagonal/>
    </border>
    <border>
      <left style="thin">
        <color rgb="FF3166CA"/>
      </left>
      <right/>
      <top style="thin">
        <color rgb="FF3166CA"/>
      </top>
      <bottom style="thin">
        <color rgb="FF3166CA"/>
      </bottom>
      <diagonal/>
    </border>
    <border>
      <left/>
      <right style="thin">
        <color rgb="FF3166CA"/>
      </right>
      <top style="thin">
        <color rgb="FF3166CA"/>
      </top>
      <bottom style="thin">
        <color rgb="FF3166CA"/>
      </bottom>
      <diagonal/>
    </border>
    <border>
      <left style="thin">
        <color rgb="FF3166CA"/>
      </left>
      <right style="thin">
        <color rgb="FF3166CA"/>
      </right>
      <top style="thin">
        <color rgb="FF3166CA"/>
      </top>
      <bottom/>
      <diagonal/>
    </border>
    <border>
      <left/>
      <right/>
      <top style="thin">
        <color rgb="FF3166CA"/>
      </top>
      <bottom style="thin">
        <color rgb="FF3166CA"/>
      </bottom>
      <diagonal/>
    </border>
    <border>
      <left style="medium">
        <color rgb="FF3166CA"/>
      </left>
      <right style="medium">
        <color rgb="FF3166CA"/>
      </right>
      <top/>
      <bottom style="medium">
        <color rgb="FF3166CA"/>
      </bottom>
      <diagonal/>
    </border>
    <border>
      <left/>
      <right/>
      <top/>
      <bottom style="thin">
        <color rgb="FF3166CA"/>
      </bottom>
      <diagonal/>
    </border>
    <border>
      <left/>
      <right style="thin">
        <color rgb="FF3166CA"/>
      </right>
      <top style="medium">
        <color rgb="FF3166CA"/>
      </top>
      <bottom style="medium">
        <color rgb="FF3166CA"/>
      </bottom>
      <diagonal/>
    </border>
    <border>
      <left style="thin">
        <color rgb="FF3166CA"/>
      </left>
      <right/>
      <top style="medium">
        <color rgb="FF3166CA"/>
      </top>
      <bottom style="medium">
        <color rgb="FF3166CA"/>
      </bottom>
      <diagonal/>
    </border>
    <border>
      <left style="thin">
        <color rgb="FF3166CA"/>
      </left>
      <right style="thin">
        <color rgb="FF3166CA"/>
      </right>
      <top style="medium">
        <color rgb="FF3166CA"/>
      </top>
      <bottom style="medium">
        <color rgb="FF3166CA"/>
      </bottom>
      <diagonal/>
    </border>
    <border>
      <left/>
      <right style="medium">
        <color rgb="FF3166CA"/>
      </right>
      <top style="medium">
        <color rgb="FF3166CA"/>
      </top>
      <bottom style="medium">
        <color rgb="FF3166CA"/>
      </bottom>
      <diagonal/>
    </border>
    <border>
      <left style="medium">
        <color rgb="FF3166CA"/>
      </left>
      <right style="medium">
        <color rgb="FF3166CA"/>
      </right>
      <top style="medium">
        <color rgb="FF3166CA"/>
      </top>
      <bottom/>
      <diagonal/>
    </border>
    <border>
      <left style="medium">
        <color rgb="FF3166CA"/>
      </left>
      <right style="medium">
        <color rgb="FF3166CA"/>
      </right>
      <top/>
      <bottom/>
      <diagonal/>
    </border>
    <border>
      <left style="medium">
        <color rgb="FF3166CA"/>
      </left>
      <right style="thin">
        <color rgb="FF3166CA"/>
      </right>
      <top style="medium">
        <color rgb="FF3166CA"/>
      </top>
      <bottom/>
      <diagonal/>
    </border>
    <border>
      <left/>
      <right style="thin">
        <color rgb="FF3166CA"/>
      </right>
      <top style="medium">
        <color rgb="FF3166CA"/>
      </top>
      <bottom style="thin">
        <color rgb="FF3166CA"/>
      </bottom>
      <diagonal/>
    </border>
    <border>
      <left/>
      <right style="thin">
        <color rgb="FF3166CA"/>
      </right>
      <top style="medium">
        <color rgb="FF3166CA"/>
      </top>
      <bottom/>
      <diagonal/>
    </border>
    <border>
      <left/>
      <right/>
      <top style="medium">
        <color rgb="FF3166CA"/>
      </top>
      <bottom/>
      <diagonal/>
    </border>
    <border>
      <left style="thin">
        <color rgb="FF3166CA"/>
      </left>
      <right style="thin">
        <color rgb="FF3166CA"/>
      </right>
      <top style="medium">
        <color rgb="FF3166CA"/>
      </top>
      <bottom style="thin">
        <color rgb="FF3166CA"/>
      </bottom>
      <diagonal/>
    </border>
    <border>
      <left/>
      <right style="medium">
        <color rgb="FF3166CA"/>
      </right>
      <top style="medium">
        <color rgb="FF3166CA"/>
      </top>
      <bottom style="thin">
        <color rgb="FF3166CA"/>
      </bottom>
      <diagonal/>
    </border>
    <border>
      <left style="medium">
        <color rgb="FF3166CA"/>
      </left>
      <right style="thin">
        <color rgb="FF3166CA"/>
      </right>
      <top style="thin">
        <color rgb="FF3166CA"/>
      </top>
      <bottom style="thin">
        <color rgb="FF3166CA"/>
      </bottom>
      <diagonal/>
    </border>
    <border>
      <left/>
      <right style="medium">
        <color rgb="FF3166CA"/>
      </right>
      <top style="thin">
        <color rgb="FF3166CA"/>
      </top>
      <bottom style="thin">
        <color rgb="FF3166CA"/>
      </bottom>
      <diagonal/>
    </border>
    <border>
      <left/>
      <right style="medium">
        <color rgb="FF3166CA"/>
      </right>
      <top style="thin">
        <color rgb="FF3166CA"/>
      </top>
      <bottom/>
      <diagonal/>
    </border>
    <border>
      <left style="medium">
        <color rgb="FF3166CA"/>
      </left>
      <right style="thin">
        <color rgb="FF3166CA"/>
      </right>
      <top/>
      <bottom style="medium">
        <color rgb="FF3166CA"/>
      </bottom>
      <diagonal/>
    </border>
    <border>
      <left/>
      <right style="thin">
        <color rgb="FF3166CA"/>
      </right>
      <top style="thin">
        <color rgb="FF3166CA"/>
      </top>
      <bottom style="medium">
        <color rgb="FF3166CA"/>
      </bottom>
      <diagonal/>
    </border>
    <border>
      <left/>
      <right style="thin">
        <color rgb="FF3166CA"/>
      </right>
      <top/>
      <bottom style="medium">
        <color rgb="FF3166CA"/>
      </bottom>
      <diagonal/>
    </border>
    <border>
      <left/>
      <right style="medium">
        <color rgb="FF3166CA"/>
      </right>
      <top style="thin">
        <color rgb="FF3166CA"/>
      </top>
      <bottom style="medium">
        <color rgb="FF3166CA"/>
      </bottom>
      <diagonal/>
    </border>
    <border>
      <left/>
      <right style="medium">
        <color rgb="FF3166CA"/>
      </right>
      <top/>
      <bottom style="medium">
        <color rgb="FF3166CA"/>
      </bottom>
      <diagonal/>
    </border>
    <border>
      <left style="medium">
        <color rgb="FF3166CA"/>
      </left>
      <right/>
      <top style="medium">
        <color rgb="FF3166CA"/>
      </top>
      <bottom/>
      <diagonal/>
    </border>
    <border>
      <left style="thin">
        <color rgb="FF3166CA"/>
      </left>
      <right/>
      <top/>
      <bottom/>
      <diagonal/>
    </border>
    <border>
      <left style="medium">
        <color rgb="FF3166CA"/>
      </left>
      <right style="thin">
        <color rgb="FF3166CA"/>
      </right>
      <top style="thin">
        <color rgb="FF3166CA"/>
      </top>
      <bottom style="medium">
        <color rgb="FF3166CA"/>
      </bottom>
      <diagonal/>
    </border>
    <border>
      <left style="medium">
        <color rgb="FF3166CA"/>
      </left>
      <right style="thin">
        <color rgb="FF3166CA"/>
      </right>
      <top style="medium">
        <color rgb="FF3166CA"/>
      </top>
      <bottom style="thin">
        <color rgb="FF3166CA"/>
      </bottom>
      <diagonal/>
    </border>
    <border>
      <left style="thin">
        <color rgb="FF3166CA"/>
      </left>
      <right style="medium">
        <color rgb="FF3166CA"/>
      </right>
      <top style="medium">
        <color rgb="FF3166CA"/>
      </top>
      <bottom style="thin">
        <color rgb="FF3166CA"/>
      </bottom>
      <diagonal/>
    </border>
    <border>
      <left style="thin">
        <color rgb="FF3166CA"/>
      </left>
      <right style="medium">
        <color rgb="FF3166CA"/>
      </right>
      <top style="thin">
        <color rgb="FF3166CA"/>
      </top>
      <bottom style="thin">
        <color rgb="FF3166CA"/>
      </bottom>
      <diagonal/>
    </border>
    <border>
      <left style="thin">
        <color rgb="FF3166CA"/>
      </left>
      <right style="thin">
        <color rgb="FF3166CA"/>
      </right>
      <top style="thin">
        <color rgb="FF3166CA"/>
      </top>
      <bottom style="medium">
        <color rgb="FF3166CA"/>
      </bottom>
      <diagonal/>
    </border>
    <border>
      <left style="thin">
        <color rgb="FF3166CA"/>
      </left>
      <right style="medium">
        <color rgb="FF3166CA"/>
      </right>
      <top style="thin">
        <color rgb="FF3166CA"/>
      </top>
      <bottom style="medium">
        <color rgb="FF3166CA"/>
      </bottom>
      <diagonal/>
    </border>
    <border>
      <left style="thin">
        <color rgb="FF3166CA"/>
      </left>
      <right/>
      <top style="medium">
        <color rgb="FF3166CA"/>
      </top>
      <bottom style="thin">
        <color rgb="FF3166CA"/>
      </bottom>
      <diagonal/>
    </border>
    <border>
      <left/>
      <right style="medium">
        <color rgb="FF3166CA"/>
      </right>
      <top style="medium">
        <color rgb="FF3166CA"/>
      </top>
      <bottom/>
      <diagonal/>
    </border>
    <border>
      <left style="medium">
        <color rgb="FF3166CA"/>
      </left>
      <right/>
      <top/>
      <bottom/>
      <diagonal/>
    </border>
    <border>
      <left style="thin">
        <color rgb="FF3166CA"/>
      </left>
      <right/>
      <top style="thin">
        <color rgb="FF3166CA"/>
      </top>
      <bottom/>
      <diagonal/>
    </border>
    <border>
      <left/>
      <right/>
      <top/>
      <bottom style="medium">
        <color rgb="FF3166CA"/>
      </bottom>
      <diagonal/>
    </border>
    <border>
      <left style="medium">
        <color rgb="FF3166CA"/>
      </left>
      <right style="medium">
        <color rgb="FF3166CA"/>
      </right>
      <top style="medium">
        <color rgb="FF3166CA"/>
      </top>
      <bottom style="thin">
        <color rgb="FF3166CA"/>
      </bottom>
      <diagonal/>
    </border>
    <border>
      <left style="medium">
        <color rgb="FF3166CA"/>
      </left>
      <right style="medium">
        <color rgb="FF3166CA"/>
      </right>
      <top style="thin">
        <color rgb="FF3166CA"/>
      </top>
      <bottom style="thin">
        <color rgb="FF3166CA"/>
      </bottom>
      <diagonal/>
    </border>
    <border>
      <left style="medium">
        <color rgb="FF3166CA"/>
      </left>
      <right style="medium">
        <color rgb="FF3166CA"/>
      </right>
      <top style="thin">
        <color rgb="FF3166CA"/>
      </top>
      <bottom/>
      <diagonal/>
    </border>
    <border>
      <left style="medium">
        <color rgb="FF3166CA"/>
      </left>
      <right style="medium">
        <color rgb="FF3166CA"/>
      </right>
      <top style="thin">
        <color rgb="FF3166CA"/>
      </top>
      <bottom style="medium">
        <color rgb="FF3166CA"/>
      </bottom>
      <diagonal/>
    </border>
    <border>
      <left style="thin">
        <color rgb="FF3166CA"/>
      </left>
      <right/>
      <top style="thin">
        <color rgb="FF3166CA"/>
      </top>
      <bottom style="medium">
        <color rgb="FF3166CA"/>
      </bottom>
      <diagonal/>
    </border>
    <border>
      <left style="medium">
        <color rgb="FFF954A2"/>
      </left>
      <right style="medium">
        <color rgb="FFF954A2"/>
      </right>
      <top style="medium">
        <color rgb="FFF954A2"/>
      </top>
      <bottom style="medium">
        <color rgb="FFF954A2"/>
      </bottom>
      <diagonal/>
    </border>
    <border>
      <left style="medium">
        <color rgb="FF3166CA"/>
      </left>
      <right style="medium">
        <color rgb="FF3166CA"/>
      </right>
      <top/>
      <bottom style="thin">
        <color rgb="FF3166CA"/>
      </bottom>
      <diagonal/>
    </border>
    <border>
      <left/>
      <right/>
      <top style="medium">
        <color rgb="FF3166CA"/>
      </top>
      <bottom style="medium">
        <color rgb="FF3166CA"/>
      </bottom>
      <diagonal/>
    </border>
    <border>
      <left/>
      <right style="medium">
        <color rgb="FF3166CA"/>
      </right>
      <top/>
      <bottom style="thin">
        <color rgb="FF3166CA"/>
      </bottom>
      <diagonal/>
    </border>
    <border>
      <left style="medium">
        <color rgb="FFF954A2"/>
      </left>
      <right style="medium">
        <color rgb="FFF954A2"/>
      </right>
      <top style="medium">
        <color rgb="FFF954A2"/>
      </top>
      <bottom style="medium">
        <color rgb="FFF854A2"/>
      </bottom>
      <diagonal/>
    </border>
    <border>
      <left style="medium">
        <color rgb="FFF954A2"/>
      </left>
      <right style="medium">
        <color rgb="FFF954A2"/>
      </right>
      <top style="medium">
        <color rgb="FFF854A2"/>
      </top>
      <bottom style="medium">
        <color rgb="FFF954A2"/>
      </bottom>
      <diagonal/>
    </border>
    <border>
      <left style="medium">
        <color rgb="FFF954A2"/>
      </left>
      <right style="medium">
        <color rgb="FFF954A2"/>
      </right>
      <top style="medium">
        <color rgb="FFF954A2"/>
      </top>
      <bottom/>
      <diagonal/>
    </border>
    <border>
      <left/>
      <right/>
      <top style="medium">
        <color rgb="FF3166CA"/>
      </top>
      <bottom style="thin">
        <color rgb="FF3166CA"/>
      </bottom>
      <diagonal/>
    </border>
    <border>
      <left style="medium">
        <color rgb="FF3166CA"/>
      </left>
      <right/>
      <top style="medium">
        <color rgb="FF3166CA"/>
      </top>
      <bottom style="medium">
        <color rgb="FF3166CA"/>
      </bottom>
      <diagonal/>
    </border>
    <border>
      <left/>
      <right style="thin">
        <color rgb="FF3166CA"/>
      </right>
      <top/>
      <bottom/>
      <diagonal/>
    </border>
    <border>
      <left style="thin">
        <color rgb="FF3166CA"/>
      </left>
      <right style="thin">
        <color rgb="FF3166CA"/>
      </right>
      <top style="medium">
        <color rgb="FF3166CA"/>
      </top>
      <bottom/>
      <diagonal/>
    </border>
    <border>
      <left style="thin">
        <color rgb="FF3166CA"/>
      </left>
      <right style="medium">
        <color rgb="FF3166CA"/>
      </right>
      <top style="medium">
        <color rgb="FF3166CA"/>
      </top>
      <bottom/>
      <diagonal/>
    </border>
    <border>
      <left/>
      <right style="medium">
        <color rgb="FF3166CA"/>
      </right>
      <top/>
      <bottom/>
      <diagonal/>
    </border>
    <border>
      <left style="medium">
        <color rgb="FF3166CA"/>
      </left>
      <right/>
      <top/>
      <bottom style="medium">
        <color rgb="FF3166CA"/>
      </bottom>
      <diagonal/>
    </border>
    <border>
      <left/>
      <right style="thin">
        <color rgb="FF3166CA"/>
      </right>
      <top/>
      <bottom style="thin">
        <color rgb="FF3166CA"/>
      </bottom>
      <diagonal/>
    </border>
    <border>
      <left style="medium">
        <color rgb="FF3166CA"/>
      </left>
      <right style="thin">
        <color rgb="FF3166CA"/>
      </right>
      <top style="medium">
        <color rgb="FF3166CA"/>
      </top>
      <bottom style="medium">
        <color rgb="FF3166CA"/>
      </bottom>
      <diagonal/>
    </border>
    <border>
      <left style="thin">
        <color rgb="FF3166CA"/>
      </left>
      <right style="medium">
        <color rgb="FF3166CA"/>
      </right>
      <top style="medium">
        <color rgb="FF3166CA"/>
      </top>
      <bottom style="medium">
        <color rgb="FF3166CA"/>
      </bottom>
      <diagonal/>
    </border>
    <border>
      <left/>
      <right style="medium">
        <color rgb="FFF954A2"/>
      </right>
      <top style="medium">
        <color rgb="FFF954A2"/>
      </top>
      <bottom/>
      <diagonal/>
    </border>
    <border>
      <left style="thin">
        <color rgb="FF3166CA"/>
      </left>
      <right style="thin">
        <color rgb="FF3166CA"/>
      </right>
      <top/>
      <bottom style="thin">
        <color rgb="FF3166CA"/>
      </bottom>
      <diagonal/>
    </border>
    <border>
      <left style="medium">
        <color rgb="FF3166CA"/>
      </left>
      <right style="thin">
        <color rgb="FF3166CA"/>
      </right>
      <top/>
      <bottom/>
      <diagonal/>
    </border>
    <border>
      <left style="medium">
        <color rgb="FF3166CA"/>
      </left>
      <right/>
      <top style="medium">
        <color rgb="FF3166CA"/>
      </top>
      <bottom style="thin">
        <color rgb="FF3166CA"/>
      </bottom>
      <diagonal/>
    </border>
    <border>
      <left style="medium">
        <color rgb="FF3166CA"/>
      </left>
      <right style="thin">
        <color rgb="FF3166CA"/>
      </right>
      <top style="thin">
        <color rgb="FF3166CA"/>
      </top>
      <bottom/>
      <diagonal/>
    </border>
    <border>
      <left style="thin">
        <color theme="0"/>
      </left>
      <right style="thin">
        <color theme="0"/>
      </right>
      <top style="thin">
        <color theme="0"/>
      </top>
      <bottom/>
      <diagonal/>
    </border>
    <border>
      <left style="medium">
        <color rgb="FF3166CA"/>
      </left>
      <right/>
      <top style="thin">
        <color rgb="FF3166CA"/>
      </top>
      <bottom style="thin">
        <color rgb="FF3166CA"/>
      </bottom>
      <diagonal/>
    </border>
    <border>
      <left style="medium">
        <color rgb="FF3166CA"/>
      </left>
      <right/>
      <top style="thin">
        <color rgb="FF3166CA"/>
      </top>
      <bottom style="medium">
        <color rgb="FF3166CA"/>
      </bottom>
      <diagonal/>
    </border>
    <border>
      <left style="thin">
        <color theme="0"/>
      </left>
      <right/>
      <top style="medium">
        <color rgb="FF3166CA"/>
      </top>
      <bottom style="medium">
        <color rgb="FF3166CA"/>
      </bottom>
      <diagonal/>
    </border>
  </borders>
  <cellStyleXfs count="4">
    <xf numFmtId="0" fontId="0" fillId="0" borderId="0"/>
    <xf numFmtId="0" fontId="7" fillId="0" borderId="0"/>
    <xf numFmtId="0" fontId="9" fillId="0" borderId="0" applyNumberFormat="0" applyFill="0" applyBorder="0" applyAlignment="0" applyProtection="0"/>
    <xf numFmtId="9" fontId="31" fillId="0" borderId="0" applyFont="0" applyFill="0" applyBorder="0" applyAlignment="0" applyProtection="0"/>
  </cellStyleXfs>
  <cellXfs count="405">
    <xf numFmtId="0" fontId="0" fillId="0" borderId="0" xfId="0"/>
    <xf numFmtId="0" fontId="1" fillId="0" borderId="0" xfId="0" applyFont="1"/>
    <xf numFmtId="0" fontId="1" fillId="0" borderId="0" xfId="0" applyFont="1" applyAlignment="1">
      <alignment horizontal="center"/>
    </xf>
    <xf numFmtId="0" fontId="0" fillId="0" borderId="0" xfId="0" applyAlignment="1">
      <alignment horizontal="left"/>
    </xf>
    <xf numFmtId="0" fontId="0" fillId="0" borderId="1" xfId="0" applyBorder="1"/>
    <xf numFmtId="2" fontId="1" fillId="0" borderId="0" xfId="0" applyNumberFormat="1" applyFont="1"/>
    <xf numFmtId="2" fontId="1" fillId="0" borderId="1" xfId="0" applyNumberFormat="1" applyFont="1" applyBorder="1"/>
    <xf numFmtId="0" fontId="1" fillId="0" borderId="0" xfId="0" applyFont="1" applyAlignment="1">
      <alignment horizontal="center" vertical="center" wrapText="1"/>
    </xf>
    <xf numFmtId="0" fontId="0" fillId="0" borderId="0" xfId="0" applyAlignment="1">
      <alignment horizontal="center"/>
    </xf>
    <xf numFmtId="0" fontId="2" fillId="0" borderId="0" xfId="0" applyFont="1"/>
    <xf numFmtId="0" fontId="8" fillId="0" borderId="0" xfId="1" applyFont="1"/>
    <xf numFmtId="0" fontId="8" fillId="0" borderId="0" xfId="1" applyFont="1" applyAlignment="1">
      <alignment horizontal="center" vertical="center"/>
    </xf>
    <xf numFmtId="2" fontId="0" fillId="0" borderId="4" xfId="0" applyNumberFormat="1" applyBorder="1" applyAlignment="1">
      <alignment horizontal="center"/>
    </xf>
    <xf numFmtId="2" fontId="0" fillId="0" borderId="5" xfId="0" applyNumberFormat="1" applyBorder="1" applyAlignment="1">
      <alignment horizontal="center"/>
    </xf>
    <xf numFmtId="2" fontId="14" fillId="0" borderId="11" xfId="0" applyNumberFormat="1" applyFont="1" applyBorder="1" applyAlignment="1">
      <alignment horizontal="center"/>
    </xf>
    <xf numFmtId="2" fontId="14" fillId="0" borderId="8" xfId="0" applyNumberFormat="1" applyFont="1" applyBorder="1" applyAlignment="1">
      <alignment horizontal="center"/>
    </xf>
    <xf numFmtId="2" fontId="14" fillId="0" borderId="5" xfId="0" applyNumberFormat="1" applyFont="1" applyBorder="1" applyAlignment="1">
      <alignment horizontal="center"/>
    </xf>
    <xf numFmtId="2" fontId="17" fillId="6" borderId="0" xfId="0" applyNumberFormat="1" applyFont="1" applyFill="1" applyAlignment="1">
      <alignment vertical="center"/>
    </xf>
    <xf numFmtId="0" fontId="6" fillId="5" borderId="7" xfId="0" applyFont="1" applyFill="1" applyBorder="1" applyAlignment="1">
      <alignment horizontal="center"/>
    </xf>
    <xf numFmtId="0" fontId="6" fillId="5" borderId="0" xfId="0" applyFont="1" applyFill="1" applyAlignment="1">
      <alignment horizontal="center" vertical="center"/>
    </xf>
    <xf numFmtId="0" fontId="6" fillId="5" borderId="0" xfId="0" applyFont="1" applyFill="1" applyAlignment="1">
      <alignment horizontal="center"/>
    </xf>
    <xf numFmtId="0" fontId="13" fillId="0" borderId="22" xfId="0" applyFont="1" applyBorder="1" applyAlignment="1">
      <alignment horizontal="left" wrapText="1"/>
    </xf>
    <xf numFmtId="2" fontId="14" fillId="0" borderId="23" xfId="0" applyNumberFormat="1" applyFont="1" applyBorder="1" applyAlignment="1">
      <alignment horizontal="center"/>
    </xf>
    <xf numFmtId="2" fontId="14" fillId="0" borderId="24" xfId="0" applyNumberFormat="1" applyFont="1" applyBorder="1" applyAlignment="1">
      <alignment horizontal="center"/>
    </xf>
    <xf numFmtId="2" fontId="14" fillId="0" borderId="25" xfId="0" applyNumberFormat="1" applyFont="1" applyBorder="1" applyAlignment="1">
      <alignment horizontal="center"/>
    </xf>
    <xf numFmtId="2" fontId="14" fillId="0" borderId="26" xfId="0" applyNumberFormat="1" applyFont="1" applyBorder="1" applyAlignment="1">
      <alignment horizontal="center"/>
    </xf>
    <xf numFmtId="0" fontId="13" fillId="0" borderId="28" xfId="0" applyFont="1" applyBorder="1" applyAlignment="1">
      <alignment horizontal="left" wrapText="1"/>
    </xf>
    <xf numFmtId="2" fontId="14" fillId="0" borderId="29" xfId="0" applyNumberFormat="1" applyFont="1" applyBorder="1" applyAlignment="1">
      <alignment horizontal="center"/>
    </xf>
    <xf numFmtId="2" fontId="14" fillId="0" borderId="30" xfId="0" applyNumberFormat="1" applyFont="1" applyBorder="1" applyAlignment="1">
      <alignment horizontal="center"/>
    </xf>
    <xf numFmtId="0" fontId="13" fillId="0" borderId="31" xfId="0" applyFont="1" applyBorder="1" applyAlignment="1">
      <alignment horizontal="left" wrapText="1"/>
    </xf>
    <xf numFmtId="2" fontId="14" fillId="0" borderId="32" xfId="0" applyNumberFormat="1" applyFont="1" applyBorder="1" applyAlignment="1">
      <alignment horizontal="center"/>
    </xf>
    <xf numFmtId="2" fontId="14" fillId="0" borderId="33" xfId="0" applyNumberFormat="1" applyFont="1" applyBorder="1" applyAlignment="1">
      <alignment horizontal="center"/>
    </xf>
    <xf numFmtId="2" fontId="14" fillId="0" borderId="34" xfId="0" applyNumberFormat="1" applyFont="1" applyBorder="1" applyAlignment="1">
      <alignment horizontal="center"/>
    </xf>
    <xf numFmtId="0" fontId="0" fillId="6" borderId="0" xfId="0" applyFill="1" applyAlignment="1">
      <alignment horizontal="center"/>
    </xf>
    <xf numFmtId="0" fontId="0" fillId="6" borderId="0" xfId="0" applyFill="1"/>
    <xf numFmtId="0" fontId="1" fillId="6" borderId="0" xfId="0" applyFont="1" applyFill="1"/>
    <xf numFmtId="2" fontId="1" fillId="6" borderId="0" xfId="0" applyNumberFormat="1" applyFont="1" applyFill="1"/>
    <xf numFmtId="0" fontId="6" fillId="5" borderId="3" xfId="0" applyFont="1" applyFill="1" applyBorder="1" applyAlignment="1">
      <alignment horizontal="center"/>
    </xf>
    <xf numFmtId="0" fontId="6" fillId="5" borderId="37" xfId="0" applyFont="1" applyFill="1" applyBorder="1" applyAlignment="1">
      <alignment horizontal="center"/>
    </xf>
    <xf numFmtId="0" fontId="6" fillId="5" borderId="9" xfId="0" applyFont="1" applyFill="1" applyBorder="1" applyAlignment="1">
      <alignment horizontal="center"/>
    </xf>
    <xf numFmtId="0" fontId="13" fillId="0" borderId="38" xfId="0" applyFont="1" applyBorder="1" applyAlignment="1">
      <alignment horizontal="left" vertical="center"/>
    </xf>
    <xf numFmtId="0" fontId="13" fillId="0" borderId="39" xfId="0" applyFont="1" applyBorder="1" applyAlignment="1">
      <alignment horizontal="left" vertical="center"/>
    </xf>
    <xf numFmtId="0" fontId="13" fillId="0" borderId="28" xfId="0" applyFont="1" applyBorder="1" applyAlignment="1">
      <alignment horizontal="left" vertical="center"/>
    </xf>
    <xf numFmtId="2" fontId="14" fillId="0" borderId="42" xfId="0" applyNumberFormat="1" applyFont="1" applyBorder="1" applyAlignment="1">
      <alignment horizontal="center"/>
    </xf>
    <xf numFmtId="0" fontId="18" fillId="0" borderId="26" xfId="0" applyFont="1" applyBorder="1" applyAlignment="1">
      <alignment horizontal="center"/>
    </xf>
    <xf numFmtId="0" fontId="18" fillId="0" borderId="23" xfId="0" applyFont="1" applyBorder="1" applyAlignment="1">
      <alignment horizontal="center"/>
    </xf>
    <xf numFmtId="0" fontId="18" fillId="0" borderId="44" xfId="0" applyFont="1" applyBorder="1" applyAlignment="1">
      <alignment horizontal="center"/>
    </xf>
    <xf numFmtId="2" fontId="14" fillId="0" borderId="40" xfId="0" applyNumberFormat="1" applyFont="1" applyBorder="1" applyAlignment="1">
      <alignment horizontal="center"/>
    </xf>
    <xf numFmtId="2" fontId="14" fillId="0" borderId="41" xfId="0" applyNumberFormat="1" applyFont="1" applyBorder="1" applyAlignment="1">
      <alignment horizontal="center"/>
    </xf>
    <xf numFmtId="2" fontId="14" fillId="0" borderId="43" xfId="0" applyNumberFormat="1" applyFont="1" applyBorder="1" applyAlignment="1">
      <alignment horizontal="center"/>
    </xf>
    <xf numFmtId="0" fontId="14" fillId="6" borderId="0" xfId="0" applyFont="1" applyFill="1" applyAlignment="1">
      <alignment horizontal="center"/>
    </xf>
    <xf numFmtId="0" fontId="2" fillId="6" borderId="0" xfId="0" applyFont="1" applyFill="1"/>
    <xf numFmtId="0" fontId="1" fillId="6" borderId="0" xfId="0" applyFont="1" applyFill="1" applyAlignment="1">
      <alignment horizontal="center" vertical="center" wrapText="1"/>
    </xf>
    <xf numFmtId="0" fontId="0" fillId="6" borderId="0" xfId="0" applyFill="1" applyAlignment="1">
      <alignment horizontal="left"/>
    </xf>
    <xf numFmtId="0" fontId="6" fillId="5" borderId="6" xfId="0" applyFont="1" applyFill="1" applyBorder="1" applyAlignment="1">
      <alignment horizontal="center"/>
    </xf>
    <xf numFmtId="0" fontId="6" fillId="5" borderId="47" xfId="0" applyFont="1" applyFill="1" applyBorder="1" applyAlignment="1">
      <alignment horizontal="center"/>
    </xf>
    <xf numFmtId="0" fontId="6" fillId="5" borderId="12" xfId="0" applyFont="1" applyFill="1" applyBorder="1" applyAlignment="1">
      <alignment horizontal="center"/>
    </xf>
    <xf numFmtId="0" fontId="13" fillId="0" borderId="39" xfId="0" applyFont="1" applyBorder="1" applyAlignment="1">
      <alignment horizontal="left" wrapText="1"/>
    </xf>
    <xf numFmtId="0" fontId="13" fillId="0" borderId="38" xfId="0" applyFont="1" applyBorder="1" applyAlignment="1">
      <alignment horizontal="left" wrapText="1"/>
    </xf>
    <xf numFmtId="2" fontId="0" fillId="0" borderId="0" xfId="0" applyNumberFormat="1"/>
    <xf numFmtId="2" fontId="14" fillId="0" borderId="13" xfId="0" applyNumberFormat="1" applyFont="1" applyBorder="1" applyAlignment="1">
      <alignment horizontal="center"/>
    </xf>
    <xf numFmtId="2" fontId="14" fillId="0" borderId="48" xfId="0" applyNumberFormat="1" applyFont="1" applyBorder="1" applyAlignment="1">
      <alignment horizontal="center"/>
    </xf>
    <xf numFmtId="2" fontId="14" fillId="0" borderId="50" xfId="0" applyNumberFormat="1" applyFont="1" applyBorder="1" applyAlignment="1">
      <alignment horizontal="center"/>
    </xf>
    <xf numFmtId="2" fontId="14" fillId="0" borderId="51" xfId="0" applyNumberFormat="1" applyFont="1" applyBorder="1" applyAlignment="1">
      <alignment horizontal="center"/>
    </xf>
    <xf numFmtId="2" fontId="14" fillId="0" borderId="52" xfId="0" applyNumberFormat="1" applyFont="1" applyBorder="1" applyAlignment="1">
      <alignment horizontal="center"/>
    </xf>
    <xf numFmtId="2" fontId="14" fillId="0" borderId="44" xfId="0" applyNumberFormat="1" applyFont="1" applyBorder="1" applyAlignment="1">
      <alignment horizontal="center"/>
    </xf>
    <xf numFmtId="2" fontId="14" fillId="0" borderId="10" xfId="0" applyNumberFormat="1" applyFont="1" applyBorder="1" applyAlignment="1">
      <alignment horizontal="center"/>
    </xf>
    <xf numFmtId="2" fontId="14" fillId="0" borderId="53" xfId="0" applyNumberFormat="1" applyFont="1" applyBorder="1" applyAlignment="1">
      <alignment horizontal="center"/>
    </xf>
    <xf numFmtId="2" fontId="0" fillId="0" borderId="50" xfId="0" applyNumberFormat="1" applyBorder="1" applyAlignment="1">
      <alignment horizontal="center"/>
    </xf>
    <xf numFmtId="2" fontId="0" fillId="0" borderId="52" xfId="0" applyNumberFormat="1" applyBorder="1" applyAlignment="1">
      <alignment horizontal="center"/>
    </xf>
    <xf numFmtId="2" fontId="15" fillId="0" borderId="54" xfId="0" applyNumberFormat="1" applyFont="1" applyBorder="1" applyAlignment="1">
      <alignment horizontal="center" vertical="center" wrapText="1"/>
    </xf>
    <xf numFmtId="2" fontId="0" fillId="0" borderId="55" xfId="0" applyNumberFormat="1" applyBorder="1" applyAlignment="1">
      <alignment horizontal="center"/>
    </xf>
    <xf numFmtId="2" fontId="14" fillId="0" borderId="55" xfId="0" applyNumberFormat="1" applyFont="1" applyBorder="1" applyAlignment="1">
      <alignment horizontal="center"/>
    </xf>
    <xf numFmtId="2" fontId="14" fillId="0" borderId="57" xfId="0" applyNumberFormat="1" applyFont="1" applyBorder="1" applyAlignment="1">
      <alignment horizontal="center"/>
    </xf>
    <xf numFmtId="2" fontId="6" fillId="3" borderId="58" xfId="0" applyNumberFormat="1" applyFont="1" applyFill="1" applyBorder="1" applyAlignment="1">
      <alignment horizontal="center" vertical="center" wrapText="1"/>
    </xf>
    <xf numFmtId="2" fontId="15" fillId="0" borderId="59" xfId="0" applyNumberFormat="1" applyFont="1" applyBorder="1" applyAlignment="1">
      <alignment horizontal="center" vertical="center" wrapText="1"/>
    </xf>
    <xf numFmtId="2" fontId="6" fillId="3" borderId="60" xfId="0" applyNumberFormat="1" applyFont="1" applyFill="1" applyBorder="1" applyAlignment="1">
      <alignment horizontal="center" vertical="center" wrapText="1"/>
    </xf>
    <xf numFmtId="0" fontId="18" fillId="0" borderId="61" xfId="0" applyFont="1" applyBorder="1" applyAlignment="1">
      <alignment horizontal="center"/>
    </xf>
    <xf numFmtId="0" fontId="6" fillId="3" borderId="60" xfId="0" applyFont="1" applyFill="1" applyBorder="1" applyAlignment="1">
      <alignment horizontal="center" vertical="center" wrapText="1"/>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18" fillId="0" borderId="56" xfId="0" applyFont="1" applyBorder="1" applyAlignment="1">
      <alignment horizontal="center" vertical="center"/>
    </xf>
    <xf numFmtId="0" fontId="18" fillId="0" borderId="26" xfId="0" applyFont="1" applyBorder="1" applyAlignment="1">
      <alignment horizontal="center" vertical="center"/>
    </xf>
    <xf numFmtId="0" fontId="18" fillId="0" borderId="23" xfId="0" applyFont="1" applyBorder="1" applyAlignment="1">
      <alignment horizontal="center" vertical="center"/>
    </xf>
    <xf numFmtId="0" fontId="18" fillId="0" borderId="44" xfId="0" applyFont="1" applyBorder="1" applyAlignment="1">
      <alignment horizontal="center" vertical="center"/>
    </xf>
    <xf numFmtId="0" fontId="18" fillId="0" borderId="61" xfId="0" applyFont="1" applyBorder="1" applyAlignment="1">
      <alignment horizontal="center" vertical="center"/>
    </xf>
    <xf numFmtId="0" fontId="6" fillId="5" borderId="3" xfId="0" applyFont="1" applyFill="1" applyBorder="1" applyAlignment="1">
      <alignment horizontal="center" vertical="center"/>
    </xf>
    <xf numFmtId="0" fontId="6" fillId="5" borderId="37" xfId="0" applyFont="1" applyFill="1" applyBorder="1" applyAlignment="1">
      <alignment horizontal="center" vertical="center"/>
    </xf>
    <xf numFmtId="0" fontId="6" fillId="5" borderId="9" xfId="0" applyFont="1" applyFill="1" applyBorder="1" applyAlignment="1">
      <alignment horizontal="center" vertical="center"/>
    </xf>
    <xf numFmtId="0" fontId="8" fillId="0" borderId="5" xfId="1" applyFont="1" applyBorder="1" applyAlignment="1">
      <alignment horizontal="center" vertical="center"/>
    </xf>
    <xf numFmtId="0" fontId="8" fillId="0" borderId="26" xfId="1" applyFont="1" applyBorder="1" applyAlignment="1">
      <alignment horizontal="center" vertical="center"/>
    </xf>
    <xf numFmtId="0" fontId="8" fillId="0" borderId="40" xfId="1" applyFont="1" applyBorder="1" applyAlignment="1">
      <alignment vertical="center" wrapText="1"/>
    </xf>
    <xf numFmtId="0" fontId="8" fillId="0" borderId="28" xfId="1" applyFont="1" applyBorder="1" applyAlignment="1">
      <alignment horizontal="center" vertical="center"/>
    </xf>
    <xf numFmtId="0" fontId="8" fillId="0" borderId="41" xfId="1" applyFont="1" applyBorder="1" applyAlignment="1">
      <alignment vertical="center" wrapText="1"/>
    </xf>
    <xf numFmtId="0" fontId="8" fillId="0" borderId="41" xfId="1" applyFont="1" applyBorder="1" applyAlignment="1">
      <alignment vertical="center"/>
    </xf>
    <xf numFmtId="0" fontId="8" fillId="0" borderId="38" xfId="1" applyFont="1" applyBorder="1" applyAlignment="1">
      <alignment horizontal="center" vertical="center"/>
    </xf>
    <xf numFmtId="0" fontId="8" fillId="0" borderId="42" xfId="1" applyFont="1" applyBorder="1" applyAlignment="1">
      <alignment horizontal="center" vertical="center"/>
    </xf>
    <xf numFmtId="0" fontId="8" fillId="0" borderId="43" xfId="1" applyFont="1" applyBorder="1" applyAlignment="1">
      <alignment vertical="center" wrapText="1"/>
    </xf>
    <xf numFmtId="0" fontId="8" fillId="0" borderId="0" xfId="1" applyFont="1" applyAlignment="1">
      <alignment vertical="center"/>
    </xf>
    <xf numFmtId="0" fontId="21" fillId="2" borderId="46" xfId="1" applyFont="1" applyFill="1" applyBorder="1" applyAlignment="1">
      <alignment horizontal="center" vertical="center"/>
    </xf>
    <xf numFmtId="0" fontId="21" fillId="2" borderId="0" xfId="1" applyFont="1" applyFill="1" applyAlignment="1">
      <alignment horizontal="center" vertical="center"/>
    </xf>
    <xf numFmtId="0" fontId="21" fillId="2" borderId="66" xfId="1" applyFont="1" applyFill="1" applyBorder="1" applyAlignment="1">
      <alignment horizontal="center" vertical="center"/>
    </xf>
    <xf numFmtId="0" fontId="21" fillId="2" borderId="36" xfId="1" applyFont="1" applyFill="1" applyBorder="1" applyAlignment="1">
      <alignment horizontal="center" vertical="center"/>
    </xf>
    <xf numFmtId="0" fontId="21" fillId="2" borderId="25" xfId="1" applyFont="1" applyFill="1" applyBorder="1" applyAlignment="1">
      <alignment horizontal="center" vertical="center"/>
    </xf>
    <xf numFmtId="0" fontId="21" fillId="2" borderId="45" xfId="1" applyFont="1" applyFill="1" applyBorder="1" applyAlignment="1">
      <alignment horizontal="center" vertical="center"/>
    </xf>
    <xf numFmtId="0" fontId="19" fillId="0" borderId="46" xfId="1" applyFont="1" applyBorder="1" applyAlignment="1">
      <alignment horizontal="center" vertical="center"/>
    </xf>
    <xf numFmtId="0" fontId="19" fillId="2" borderId="0" xfId="1" applyFont="1" applyFill="1" applyAlignment="1">
      <alignment horizontal="center" vertical="center"/>
    </xf>
    <xf numFmtId="0" fontId="19" fillId="2" borderId="66" xfId="1" applyFont="1" applyFill="1" applyBorder="1" applyAlignment="1">
      <alignment horizontal="center" vertical="center"/>
    </xf>
    <xf numFmtId="0" fontId="19" fillId="2" borderId="46" xfId="1" applyFont="1" applyFill="1" applyBorder="1" applyAlignment="1">
      <alignment horizontal="center" vertical="center"/>
    </xf>
    <xf numFmtId="0" fontId="19" fillId="0" borderId="0" xfId="1" applyFont="1" applyAlignment="1">
      <alignment horizontal="center" vertical="center"/>
    </xf>
    <xf numFmtId="0" fontId="19" fillId="0" borderId="66" xfId="1" applyFont="1" applyBorder="1" applyAlignment="1">
      <alignment horizontal="center" vertical="center"/>
    </xf>
    <xf numFmtId="0" fontId="19" fillId="0" borderId="0" xfId="1" applyFont="1" applyAlignment="1">
      <alignment horizontal="center" vertical="center" wrapText="1"/>
    </xf>
    <xf numFmtId="0" fontId="19" fillId="2" borderId="67" xfId="1" applyFont="1" applyFill="1" applyBorder="1" applyAlignment="1">
      <alignment horizontal="center" vertical="center"/>
    </xf>
    <xf numFmtId="0" fontId="19" fillId="2" borderId="48" xfId="1" applyFont="1" applyFill="1" applyBorder="1" applyAlignment="1">
      <alignment horizontal="center" vertical="center"/>
    </xf>
    <xf numFmtId="0" fontId="19" fillId="2" borderId="35" xfId="1" applyFont="1" applyFill="1" applyBorder="1" applyAlignment="1">
      <alignment horizontal="center" vertical="center"/>
    </xf>
    <xf numFmtId="0" fontId="24" fillId="0" borderId="0" xfId="1" applyFont="1"/>
    <xf numFmtId="0" fontId="16" fillId="0" borderId="0" xfId="0" applyFont="1"/>
    <xf numFmtId="0" fontId="0" fillId="0" borderId="0" xfId="0" applyAlignment="1">
      <alignment vertical="center"/>
    </xf>
    <xf numFmtId="0" fontId="0" fillId="0" borderId="5" xfId="0" applyBorder="1" applyAlignment="1">
      <alignment vertical="center" wrapText="1"/>
    </xf>
    <xf numFmtId="0" fontId="9" fillId="0" borderId="5" xfId="2" applyBorder="1" applyAlignment="1">
      <alignment vertical="center"/>
    </xf>
    <xf numFmtId="0" fontId="0" fillId="0" borderId="5" xfId="0" applyBorder="1" applyAlignment="1">
      <alignment vertical="center" wrapText="1" shrinkToFit="1"/>
    </xf>
    <xf numFmtId="0" fontId="24" fillId="0" borderId="0" xfId="1" applyFont="1" applyAlignment="1">
      <alignment horizontal="center"/>
    </xf>
    <xf numFmtId="2" fontId="0" fillId="0" borderId="26" xfId="0" applyNumberFormat="1" applyBorder="1" applyAlignment="1">
      <alignment horizontal="center"/>
    </xf>
    <xf numFmtId="2" fontId="0" fillId="0" borderId="40" xfId="0" applyNumberFormat="1" applyBorder="1" applyAlignment="1">
      <alignment horizontal="center"/>
    </xf>
    <xf numFmtId="0" fontId="8" fillId="0" borderId="0" xfId="1" applyFont="1" applyAlignment="1">
      <alignment vertical="center" wrapText="1"/>
    </xf>
    <xf numFmtId="2" fontId="0" fillId="0" borderId="0" xfId="3" applyNumberFormat="1" applyFont="1"/>
    <xf numFmtId="2" fontId="14" fillId="8" borderId="42" xfId="0" applyNumberFormat="1" applyFont="1" applyFill="1" applyBorder="1" applyAlignment="1">
      <alignment horizontal="center"/>
    </xf>
    <xf numFmtId="2" fontId="14" fillId="8" borderId="5" xfId="0" applyNumberFormat="1" applyFont="1" applyFill="1" applyBorder="1" applyAlignment="1">
      <alignment horizontal="center"/>
    </xf>
    <xf numFmtId="0" fontId="19" fillId="2" borderId="36" xfId="1" applyFont="1" applyFill="1" applyBorder="1" applyAlignment="1">
      <alignment horizontal="center" vertical="center"/>
    </xf>
    <xf numFmtId="0" fontId="19" fillId="2" borderId="25" xfId="1" applyFont="1" applyFill="1" applyBorder="1" applyAlignment="1">
      <alignment horizontal="center" vertical="center"/>
    </xf>
    <xf numFmtId="0" fontId="19" fillId="2" borderId="45" xfId="1" applyFont="1" applyFill="1" applyBorder="1" applyAlignment="1">
      <alignment horizontal="center" vertical="center"/>
    </xf>
    <xf numFmtId="0" fontId="8" fillId="2" borderId="46" xfId="1" applyFont="1" applyFill="1" applyBorder="1"/>
    <xf numFmtId="0" fontId="8" fillId="2" borderId="0" xfId="1" applyFont="1" applyFill="1"/>
    <xf numFmtId="0" fontId="8" fillId="2" borderId="66" xfId="1" applyFont="1" applyFill="1" applyBorder="1"/>
    <xf numFmtId="0" fontId="8" fillId="0" borderId="0" xfId="1" applyFont="1" applyAlignment="1">
      <alignment wrapText="1"/>
    </xf>
    <xf numFmtId="2" fontId="8" fillId="0" borderId="0" xfId="1" applyNumberFormat="1" applyFont="1" applyAlignment="1">
      <alignment wrapText="1"/>
    </xf>
    <xf numFmtId="0" fontId="0" fillId="0" borderId="0" xfId="0" applyAlignment="1">
      <alignment vertical="center" wrapText="1"/>
    </xf>
    <xf numFmtId="0" fontId="23" fillId="0" borderId="0" xfId="1" applyFont="1" applyAlignment="1">
      <alignment horizontal="center" vertical="center" wrapText="1"/>
    </xf>
    <xf numFmtId="2" fontId="0" fillId="10" borderId="5" xfId="0" applyNumberFormat="1" applyFill="1" applyBorder="1" applyAlignment="1">
      <alignment horizontal="center"/>
    </xf>
    <xf numFmtId="0" fontId="33" fillId="0" borderId="16" xfId="0" applyFont="1" applyBorder="1" applyAlignment="1">
      <alignment horizontal="center" vertical="center"/>
    </xf>
    <xf numFmtId="0" fontId="33" fillId="0" borderId="56" xfId="0" applyFont="1" applyBorder="1" applyAlignment="1">
      <alignment horizontal="center" vertical="center"/>
    </xf>
    <xf numFmtId="0" fontId="33" fillId="0" borderId="18" xfId="0" applyFont="1" applyBorder="1" applyAlignment="1">
      <alignment horizontal="center" vertical="center"/>
    </xf>
    <xf numFmtId="2" fontId="34" fillId="12" borderId="58" xfId="0" applyNumberFormat="1" applyFont="1" applyFill="1" applyBorder="1" applyAlignment="1">
      <alignment horizontal="center" vertical="center" wrapText="1"/>
    </xf>
    <xf numFmtId="0" fontId="34" fillId="11" borderId="0" xfId="0" applyFont="1" applyFill="1" applyAlignment="1">
      <alignment horizontal="center" vertical="center"/>
    </xf>
    <xf numFmtId="0" fontId="34" fillId="11" borderId="0" xfId="0" applyFont="1" applyFill="1" applyAlignment="1">
      <alignment horizontal="center"/>
    </xf>
    <xf numFmtId="2" fontId="0" fillId="0" borderId="11" xfId="0" applyNumberFormat="1" applyBorder="1" applyAlignment="1">
      <alignment horizontal="center"/>
    </xf>
    <xf numFmtId="2" fontId="26" fillId="0" borderId="11" xfId="0" applyNumberFormat="1" applyFont="1" applyBorder="1" applyAlignment="1">
      <alignment horizontal="center"/>
    </xf>
    <xf numFmtId="2" fontId="26" fillId="0" borderId="68" xfId="0" applyNumberFormat="1" applyFont="1" applyBorder="1" applyAlignment="1">
      <alignment horizontal="center"/>
    </xf>
    <xf numFmtId="0" fontId="0" fillId="2" borderId="0" xfId="0" applyFill="1"/>
    <xf numFmtId="0" fontId="0" fillId="6" borderId="0" xfId="0" applyFill="1" applyAlignment="1">
      <alignment vertical="center" wrapText="1"/>
    </xf>
    <xf numFmtId="0" fontId="8" fillId="0" borderId="0" xfId="1" applyFont="1" applyAlignment="1">
      <alignment horizontal="center"/>
    </xf>
    <xf numFmtId="0" fontId="8" fillId="2" borderId="0" xfId="1" applyFont="1" applyFill="1" applyAlignment="1">
      <alignment horizontal="center" vertical="center"/>
    </xf>
    <xf numFmtId="0" fontId="0" fillId="2" borderId="25" xfId="0" applyFill="1" applyBorder="1"/>
    <xf numFmtId="0" fontId="0" fillId="2" borderId="45" xfId="0" applyFill="1" applyBorder="1"/>
    <xf numFmtId="0" fontId="0" fillId="2" borderId="66" xfId="0" applyFill="1" applyBorder="1"/>
    <xf numFmtId="0" fontId="8" fillId="0" borderId="66" xfId="1" applyFont="1" applyBorder="1" applyAlignment="1">
      <alignment horizontal="center" vertical="center"/>
    </xf>
    <xf numFmtId="0" fontId="8" fillId="0" borderId="46" xfId="1" applyFont="1" applyBorder="1" applyAlignment="1">
      <alignment horizontal="center" vertical="center"/>
    </xf>
    <xf numFmtId="0" fontId="0" fillId="2" borderId="36" xfId="0" applyFill="1" applyBorder="1"/>
    <xf numFmtId="0" fontId="0" fillId="2" borderId="46" xfId="0" applyFill="1" applyBorder="1"/>
    <xf numFmtId="2" fontId="8" fillId="0" borderId="0" xfId="1" applyNumberFormat="1" applyFont="1" applyAlignment="1">
      <alignment vertical="center" wrapText="1"/>
    </xf>
    <xf numFmtId="0" fontId="19" fillId="0" borderId="35" xfId="1" applyFont="1" applyBorder="1" applyAlignment="1">
      <alignment horizontal="center" vertical="center"/>
    </xf>
    <xf numFmtId="0" fontId="36" fillId="0" borderId="0" xfId="0" applyFont="1"/>
    <xf numFmtId="0" fontId="6" fillId="4" borderId="5" xfId="0" applyFont="1" applyFill="1" applyBorder="1" applyAlignment="1">
      <alignment horizontal="center"/>
    </xf>
    <xf numFmtId="2" fontId="0" fillId="0" borderId="42" xfId="0" applyNumberFormat="1" applyBorder="1" applyAlignment="1">
      <alignment horizontal="center"/>
    </xf>
    <xf numFmtId="0" fontId="6" fillId="4" borderId="9" xfId="0" applyFont="1" applyFill="1" applyBorder="1" applyAlignment="1">
      <alignment horizontal="center"/>
    </xf>
    <xf numFmtId="0" fontId="1" fillId="0" borderId="69" xfId="0" applyFont="1" applyBorder="1" applyAlignment="1">
      <alignment horizontal="center"/>
    </xf>
    <xf numFmtId="0" fontId="1" fillId="0" borderId="18" xfId="0" applyFont="1" applyBorder="1" applyAlignment="1">
      <alignment horizontal="center"/>
    </xf>
    <xf numFmtId="2" fontId="6" fillId="3" borderId="71" xfId="0" applyNumberFormat="1" applyFont="1" applyFill="1" applyBorder="1" applyAlignment="1">
      <alignment horizontal="center" vertical="center" wrapText="1"/>
    </xf>
    <xf numFmtId="2" fontId="15" fillId="0" borderId="21" xfId="0" applyNumberFormat="1" applyFont="1" applyBorder="1" applyAlignment="1">
      <alignment horizontal="center" vertical="center" wrapText="1"/>
    </xf>
    <xf numFmtId="0" fontId="6" fillId="4" borderId="2" xfId="0" applyFont="1" applyFill="1" applyBorder="1" applyAlignment="1">
      <alignment horizontal="center"/>
    </xf>
    <xf numFmtId="0" fontId="13" fillId="0" borderId="39" xfId="0" applyFont="1" applyBorder="1" applyAlignment="1">
      <alignment horizontal="left"/>
    </xf>
    <xf numFmtId="0" fontId="0" fillId="0" borderId="26" xfId="0" applyBorder="1" applyAlignment="1">
      <alignment horizontal="center"/>
    </xf>
    <xf numFmtId="0" fontId="13" fillId="0" borderId="28" xfId="0" applyFont="1" applyBorder="1"/>
    <xf numFmtId="0" fontId="13" fillId="0" borderId="38" xfId="0" applyFont="1" applyBorder="1"/>
    <xf numFmtId="0" fontId="0" fillId="0" borderId="18" xfId="0" applyBorder="1" applyAlignment="1">
      <alignment horizontal="center"/>
    </xf>
    <xf numFmtId="0" fontId="0" fillId="0" borderId="70" xfId="0" applyBorder="1" applyAlignment="1">
      <alignment horizontal="center"/>
    </xf>
    <xf numFmtId="0" fontId="6" fillId="4" borderId="3" xfId="0" applyFont="1" applyFill="1" applyBorder="1" applyAlignment="1">
      <alignment horizontal="center"/>
    </xf>
    <xf numFmtId="0" fontId="0" fillId="0" borderId="40" xfId="0" applyBorder="1" applyAlignment="1">
      <alignment horizontal="center"/>
    </xf>
    <xf numFmtId="2" fontId="0" fillId="0" borderId="57" xfId="0" applyNumberFormat="1" applyBorder="1" applyAlignment="1">
      <alignment horizontal="center"/>
    </xf>
    <xf numFmtId="2" fontId="0" fillId="0" borderId="29" xfId="0" applyNumberFormat="1" applyBorder="1" applyAlignment="1">
      <alignment horizontal="center"/>
    </xf>
    <xf numFmtId="2" fontId="0" fillId="0" borderId="34" xfId="0" applyNumberFormat="1" applyBorder="1" applyAlignment="1">
      <alignment horizontal="center"/>
    </xf>
    <xf numFmtId="0" fontId="0" fillId="0" borderId="22" xfId="0" applyBorder="1" applyAlignment="1">
      <alignment horizontal="center"/>
    </xf>
    <xf numFmtId="0" fontId="0" fillId="0" borderId="64" xfId="0" applyBorder="1" applyAlignment="1">
      <alignment horizontal="center"/>
    </xf>
    <xf numFmtId="0" fontId="0" fillId="0" borderId="65" xfId="0" applyBorder="1" applyAlignment="1">
      <alignment horizontal="center"/>
    </xf>
    <xf numFmtId="0" fontId="6" fillId="4" borderId="73" xfId="0" applyFont="1" applyFill="1" applyBorder="1" applyAlignment="1">
      <alignment horizontal="center"/>
    </xf>
    <xf numFmtId="0" fontId="13" fillId="0" borderId="28" xfId="0" applyFont="1" applyBorder="1" applyAlignment="1">
      <alignment horizontal="left"/>
    </xf>
    <xf numFmtId="0" fontId="13" fillId="0" borderId="38" xfId="0" applyFont="1" applyBorder="1" applyAlignment="1">
      <alignment horizontal="left"/>
    </xf>
    <xf numFmtId="0" fontId="1" fillId="0" borderId="17" xfId="0" applyFont="1" applyBorder="1" applyAlignment="1">
      <alignment horizontal="center"/>
    </xf>
    <xf numFmtId="2" fontId="6" fillId="3" borderId="54" xfId="0" applyNumberFormat="1" applyFont="1" applyFill="1" applyBorder="1" applyAlignment="1">
      <alignment horizontal="center" vertical="center" wrapText="1"/>
    </xf>
    <xf numFmtId="0" fontId="6" fillId="4" borderId="37" xfId="0" applyFont="1" applyFill="1" applyBorder="1" applyAlignment="1">
      <alignment horizontal="center"/>
    </xf>
    <xf numFmtId="0" fontId="44" fillId="0" borderId="69" xfId="0" applyFont="1" applyBorder="1" applyAlignment="1">
      <alignment horizontal="center"/>
    </xf>
    <xf numFmtId="0" fontId="44" fillId="0" borderId="18" xfId="0" applyFont="1" applyBorder="1" applyAlignment="1">
      <alignment horizontal="center"/>
    </xf>
    <xf numFmtId="0" fontId="44" fillId="0" borderId="70" xfId="0" applyFont="1" applyBorder="1" applyAlignment="1">
      <alignment horizontal="center"/>
    </xf>
    <xf numFmtId="0" fontId="0" fillId="0" borderId="16" xfId="0" applyBorder="1" applyAlignment="1">
      <alignment horizontal="center"/>
    </xf>
    <xf numFmtId="0" fontId="6" fillId="4" borderId="63" xfId="0" applyFont="1" applyFill="1" applyBorder="1" applyAlignment="1">
      <alignment horizontal="center"/>
    </xf>
    <xf numFmtId="0" fontId="39" fillId="0" borderId="5" xfId="1" applyFont="1" applyBorder="1" applyAlignment="1" applyProtection="1">
      <alignment horizontal="center" vertical="center" wrapText="1"/>
      <protection locked="0"/>
    </xf>
    <xf numFmtId="0" fontId="38" fillId="0" borderId="27" xfId="1" applyFont="1" applyBorder="1" applyAlignment="1" applyProtection="1">
      <alignment vertical="center"/>
      <protection locked="0"/>
    </xf>
    <xf numFmtId="0" fontId="38" fillId="0" borderId="49" xfId="1" applyFont="1" applyBorder="1" applyAlignment="1" applyProtection="1">
      <alignment vertical="center"/>
      <protection locked="0"/>
    </xf>
    <xf numFmtId="0" fontId="38" fillId="0" borderId="29" xfId="1" applyFont="1" applyBorder="1" applyAlignment="1" applyProtection="1">
      <alignment vertical="center"/>
      <protection locked="0"/>
    </xf>
    <xf numFmtId="0" fontId="38" fillId="0" borderId="50" xfId="1" applyFont="1" applyBorder="1" applyAlignment="1" applyProtection="1">
      <alignment vertical="center"/>
      <protection locked="0"/>
    </xf>
    <xf numFmtId="0" fontId="8" fillId="0" borderId="27" xfId="1" applyFont="1" applyBorder="1" applyAlignment="1" applyProtection="1">
      <alignment vertical="center"/>
      <protection locked="0"/>
    </xf>
    <xf numFmtId="0" fontId="8" fillId="0" borderId="29" xfId="1" applyFont="1" applyBorder="1" applyAlignment="1" applyProtection="1">
      <alignment vertical="center"/>
      <protection locked="0"/>
    </xf>
    <xf numFmtId="0" fontId="8" fillId="0" borderId="50" xfId="1" applyFont="1" applyBorder="1" applyAlignment="1" applyProtection="1">
      <alignment vertical="center"/>
      <protection locked="0"/>
    </xf>
    <xf numFmtId="0" fontId="8" fillId="0" borderId="34" xfId="1" applyFont="1" applyBorder="1" applyAlignment="1" applyProtection="1">
      <alignment vertical="center"/>
      <protection locked="0"/>
    </xf>
    <xf numFmtId="0" fontId="8" fillId="0" borderId="52" xfId="1" applyFont="1" applyBorder="1" applyAlignment="1" applyProtection="1">
      <alignment vertical="center"/>
      <protection locked="0"/>
    </xf>
    <xf numFmtId="0" fontId="8" fillId="0" borderId="5" xfId="1" applyFont="1" applyBorder="1" applyAlignment="1" applyProtection="1">
      <alignment vertical="center" wrapText="1"/>
      <protection hidden="1"/>
    </xf>
    <xf numFmtId="0" fontId="8" fillId="0" borderId="39" xfId="1" applyFont="1" applyBorder="1" applyAlignment="1">
      <alignment horizontal="center" vertical="center"/>
    </xf>
    <xf numFmtId="0" fontId="10" fillId="0" borderId="26" xfId="1" applyFont="1" applyBorder="1" applyAlignment="1">
      <alignment horizontal="center" vertical="center"/>
    </xf>
    <xf numFmtId="0" fontId="10" fillId="0" borderId="45" xfId="1" applyFont="1" applyBorder="1" applyAlignment="1">
      <alignment horizontal="center" vertical="center" wrapText="1"/>
    </xf>
    <xf numFmtId="0" fontId="10" fillId="2" borderId="46" xfId="1" applyFont="1" applyFill="1" applyBorder="1" applyAlignment="1">
      <alignment horizontal="center" vertical="center"/>
    </xf>
    <xf numFmtId="0" fontId="10" fillId="2" borderId="0" xfId="1" applyFont="1" applyFill="1" applyAlignment="1">
      <alignment horizontal="center" vertical="center"/>
    </xf>
    <xf numFmtId="0" fontId="10" fillId="2" borderId="66" xfId="1" applyFont="1" applyFill="1" applyBorder="1" applyAlignment="1">
      <alignment horizontal="center" vertical="center"/>
    </xf>
    <xf numFmtId="0" fontId="10" fillId="2" borderId="36" xfId="1" applyFont="1" applyFill="1" applyBorder="1" applyAlignment="1">
      <alignment horizontal="center" vertical="center"/>
    </xf>
    <xf numFmtId="0" fontId="10" fillId="2" borderId="25" xfId="1" applyFont="1" applyFill="1" applyBorder="1" applyAlignment="1">
      <alignment horizontal="center" vertical="center"/>
    </xf>
    <xf numFmtId="0" fontId="10" fillId="2" borderId="45" xfId="1" applyFont="1" applyFill="1" applyBorder="1" applyAlignment="1">
      <alignment horizontal="center" vertical="center"/>
    </xf>
    <xf numFmtId="0" fontId="10" fillId="0" borderId="66" xfId="1" applyFont="1" applyBorder="1" applyAlignment="1">
      <alignment horizontal="center" vertical="center"/>
    </xf>
    <xf numFmtId="0" fontId="35" fillId="0" borderId="46" xfId="1" applyFont="1" applyBorder="1" applyAlignment="1">
      <alignment horizontal="center" vertical="center"/>
    </xf>
    <xf numFmtId="0" fontId="35" fillId="2" borderId="0" xfId="1" applyFont="1" applyFill="1" applyAlignment="1">
      <alignment horizontal="center" vertical="center"/>
    </xf>
    <xf numFmtId="0" fontId="35" fillId="2" borderId="66" xfId="1" applyFont="1" applyFill="1" applyBorder="1" applyAlignment="1">
      <alignment horizontal="center" vertical="center"/>
    </xf>
    <xf numFmtId="0" fontId="35" fillId="2" borderId="46" xfId="1" applyFont="1" applyFill="1" applyBorder="1" applyAlignment="1">
      <alignment horizontal="center" vertical="center"/>
    </xf>
    <xf numFmtId="0" fontId="35" fillId="0" borderId="0" xfId="1" applyFont="1" applyAlignment="1">
      <alignment horizontal="center" vertical="center"/>
    </xf>
    <xf numFmtId="0" fontId="35" fillId="0" borderId="66" xfId="1" applyFont="1" applyBorder="1" applyAlignment="1">
      <alignment horizontal="center" vertical="center"/>
    </xf>
    <xf numFmtId="0" fontId="10" fillId="0" borderId="66" xfId="1" applyFont="1" applyBorder="1" applyAlignment="1">
      <alignment horizontal="center" vertical="center" wrapText="1"/>
    </xf>
    <xf numFmtId="0" fontId="35" fillId="0" borderId="46" xfId="1" applyFont="1" applyBorder="1" applyAlignment="1">
      <alignment horizontal="center" vertical="center" wrapText="1"/>
    </xf>
    <xf numFmtId="0" fontId="35" fillId="0" borderId="0" xfId="1" applyFont="1" applyAlignment="1">
      <alignment horizontal="center" vertical="center" wrapText="1"/>
    </xf>
    <xf numFmtId="0" fontId="35" fillId="0" borderId="66" xfId="1" applyFont="1" applyBorder="1" applyAlignment="1">
      <alignment horizontal="center" vertical="center" wrapText="1"/>
    </xf>
    <xf numFmtId="0" fontId="10" fillId="0" borderId="35" xfId="1" applyFont="1" applyBorder="1" applyAlignment="1">
      <alignment horizontal="center" vertical="center" wrapText="1"/>
    </xf>
    <xf numFmtId="0" fontId="35" fillId="2" borderId="67" xfId="1" applyFont="1" applyFill="1" applyBorder="1" applyAlignment="1">
      <alignment horizontal="center" vertical="center"/>
    </xf>
    <xf numFmtId="0" fontId="35" fillId="2" borderId="48" xfId="1" applyFont="1" applyFill="1" applyBorder="1" applyAlignment="1">
      <alignment horizontal="center" vertical="center"/>
    </xf>
    <xf numFmtId="0" fontId="35" fillId="0" borderId="35" xfId="1" applyFont="1" applyBorder="1" applyAlignment="1">
      <alignment horizontal="center" vertical="center" wrapText="1"/>
    </xf>
    <xf numFmtId="0" fontId="35" fillId="0" borderId="48" xfId="1" applyFont="1" applyBorder="1" applyAlignment="1">
      <alignment horizontal="center" vertical="center" wrapText="1"/>
    </xf>
    <xf numFmtId="0" fontId="35" fillId="2" borderId="35" xfId="1" applyFont="1" applyFill="1" applyBorder="1" applyAlignment="1">
      <alignment horizontal="center" vertical="center"/>
    </xf>
    <xf numFmtId="0" fontId="0" fillId="0" borderId="5" xfId="0" applyBorder="1" applyAlignment="1">
      <alignment vertical="top" wrapText="1"/>
    </xf>
    <xf numFmtId="0" fontId="0" fillId="0" borderId="50" xfId="0" applyBorder="1" applyAlignment="1">
      <alignment vertical="top" wrapText="1"/>
    </xf>
    <xf numFmtId="0" fontId="45" fillId="13" borderId="5" xfId="0" applyFont="1" applyFill="1" applyBorder="1" applyAlignment="1">
      <alignment horizontal="center" vertical="center" wrapText="1"/>
    </xf>
    <xf numFmtId="0" fontId="45" fillId="13" borderId="64" xfId="0" applyFont="1" applyFill="1" applyBorder="1" applyAlignment="1">
      <alignment horizontal="center" vertical="center" wrapText="1"/>
    </xf>
    <xf numFmtId="0" fontId="45" fillId="13" borderId="65" xfId="0" applyFont="1" applyFill="1" applyBorder="1" applyAlignment="1">
      <alignment horizontal="center" vertical="center" wrapText="1"/>
    </xf>
    <xf numFmtId="0" fontId="45" fillId="13" borderId="50" xfId="0" applyFont="1" applyFill="1" applyBorder="1" applyAlignment="1">
      <alignment horizontal="center" vertical="center" wrapText="1"/>
    </xf>
    <xf numFmtId="0" fontId="0" fillId="0" borderId="52" xfId="0" applyBorder="1" applyAlignment="1">
      <alignment vertical="center" wrapText="1"/>
    </xf>
    <xf numFmtId="0" fontId="45" fillId="13" borderId="22" xfId="0" applyFont="1" applyFill="1" applyBorder="1" applyAlignment="1">
      <alignment horizontal="center" vertical="center" wrapText="1"/>
    </xf>
    <xf numFmtId="0" fontId="45" fillId="13" borderId="28" xfId="0" applyFont="1" applyFill="1" applyBorder="1" applyAlignment="1">
      <alignment horizontal="center" vertical="center" wrapText="1"/>
    </xf>
    <xf numFmtId="0" fontId="45" fillId="13" borderId="41" xfId="0" applyFont="1" applyFill="1" applyBorder="1" applyAlignment="1">
      <alignment horizontal="center" vertical="center" wrapText="1"/>
    </xf>
    <xf numFmtId="0" fontId="0" fillId="9" borderId="41" xfId="0" applyFill="1" applyBorder="1" applyAlignment="1">
      <alignment vertical="center"/>
    </xf>
    <xf numFmtId="0" fontId="0" fillId="0" borderId="38" xfId="0" applyBorder="1" applyAlignment="1">
      <alignment vertical="center" wrapText="1"/>
    </xf>
    <xf numFmtId="0" fontId="0" fillId="0" borderId="42" xfId="0" applyBorder="1" applyAlignment="1">
      <alignment vertical="center" wrapText="1"/>
    </xf>
    <xf numFmtId="0" fontId="0" fillId="0" borderId="43" xfId="0" applyBorder="1" applyAlignment="1">
      <alignment vertical="center" wrapText="1"/>
    </xf>
    <xf numFmtId="0" fontId="0" fillId="0" borderId="28" xfId="0" applyBorder="1" applyAlignment="1">
      <alignment vertical="top" wrapText="1"/>
    </xf>
    <xf numFmtId="0" fontId="0" fillId="0" borderId="41" xfId="0" applyBorder="1" applyAlignment="1">
      <alignment vertical="top" wrapText="1"/>
    </xf>
    <xf numFmtId="0" fontId="45" fillId="13" borderId="21" xfId="0" applyFont="1" applyFill="1" applyBorder="1" applyAlignment="1">
      <alignment horizontal="center" vertical="center" wrapText="1"/>
    </xf>
    <xf numFmtId="0" fontId="0" fillId="9" borderId="41" xfId="0" applyFill="1" applyBorder="1" applyAlignment="1">
      <alignment vertical="top" wrapText="1"/>
    </xf>
    <xf numFmtId="0" fontId="0" fillId="9" borderId="5" xfId="0" applyFill="1" applyBorder="1" applyAlignment="1">
      <alignment vertical="top" wrapText="1"/>
    </xf>
    <xf numFmtId="0" fontId="17" fillId="4" borderId="76" xfId="0" applyFont="1" applyFill="1" applyBorder="1" applyAlignment="1">
      <alignment horizontal="center" vertical="center"/>
    </xf>
    <xf numFmtId="0" fontId="45" fillId="13" borderId="39" xfId="0" applyFont="1" applyFill="1" applyBorder="1" applyAlignment="1">
      <alignment horizontal="center" vertical="center" wrapText="1"/>
    </xf>
    <xf numFmtId="0" fontId="45" fillId="13" borderId="26" xfId="0" applyFont="1" applyFill="1" applyBorder="1" applyAlignment="1">
      <alignment horizontal="center" vertical="center" wrapText="1"/>
    </xf>
    <xf numFmtId="0" fontId="45" fillId="13" borderId="40" xfId="0" applyFont="1" applyFill="1" applyBorder="1" applyAlignment="1">
      <alignment horizontal="center" vertical="center" wrapText="1"/>
    </xf>
    <xf numFmtId="0" fontId="0" fillId="0" borderId="38" xfId="0" applyBorder="1" applyAlignment="1">
      <alignment vertical="top" wrapText="1"/>
    </xf>
    <xf numFmtId="0" fontId="0" fillId="0" borderId="42" xfId="0" applyBorder="1" applyAlignment="1">
      <alignment vertical="top" wrapText="1"/>
    </xf>
    <xf numFmtId="0" fontId="0" fillId="9" borderId="42" xfId="0" applyFill="1" applyBorder="1" applyAlignment="1">
      <alignment vertical="top" wrapText="1"/>
    </xf>
    <xf numFmtId="0" fontId="0" fillId="9" borderId="43" xfId="0" applyFill="1" applyBorder="1" applyAlignment="1">
      <alignment vertical="top" wrapText="1"/>
    </xf>
    <xf numFmtId="0" fontId="45" fillId="13" borderId="74" xfId="0" applyFont="1" applyFill="1" applyBorder="1" applyAlignment="1">
      <alignment horizontal="center" vertical="center" wrapText="1"/>
    </xf>
    <xf numFmtId="0" fontId="0" fillId="0" borderId="77" xfId="0" applyBorder="1" applyAlignment="1">
      <alignment vertical="top" wrapText="1"/>
    </xf>
    <xf numFmtId="0" fontId="45" fillId="13" borderId="77" xfId="0" applyFont="1" applyFill="1" applyBorder="1" applyAlignment="1">
      <alignment horizontal="center" vertical="center" wrapText="1"/>
    </xf>
    <xf numFmtId="0" fontId="0" fillId="0" borderId="78" xfId="0" applyBorder="1" applyAlignment="1">
      <alignment vertical="top" wrapText="1"/>
    </xf>
    <xf numFmtId="0" fontId="36" fillId="0" borderId="5" xfId="0" applyFont="1" applyBorder="1"/>
    <xf numFmtId="0" fontId="38" fillId="0" borderId="5" xfId="1" applyFont="1" applyBorder="1" applyAlignment="1" applyProtection="1">
      <alignment vertical="center"/>
      <protection locked="0"/>
    </xf>
    <xf numFmtId="0" fontId="36" fillId="0" borderId="0" xfId="0" applyFont="1" applyAlignment="1">
      <alignment wrapText="1"/>
    </xf>
    <xf numFmtId="2" fontId="0" fillId="2" borderId="5" xfId="0" applyNumberFormat="1" applyFill="1" applyBorder="1" applyAlignment="1">
      <alignment horizontal="center"/>
    </xf>
    <xf numFmtId="2" fontId="26" fillId="0" borderId="5" xfId="0" applyNumberFormat="1" applyFont="1" applyBorder="1" applyAlignment="1">
      <alignment horizontal="center"/>
    </xf>
    <xf numFmtId="2" fontId="26" fillId="0" borderId="26" xfId="0" applyNumberFormat="1" applyFont="1" applyBorder="1" applyAlignment="1">
      <alignment horizontal="center"/>
    </xf>
    <xf numFmtId="2" fontId="0" fillId="0" borderId="41" xfId="0" applyNumberFormat="1" applyBorder="1" applyAlignment="1">
      <alignment horizontal="center"/>
    </xf>
    <xf numFmtId="2" fontId="26" fillId="0" borderId="42" xfId="0" applyNumberFormat="1" applyFont="1" applyBorder="1" applyAlignment="1">
      <alignment horizontal="center"/>
    </xf>
    <xf numFmtId="2" fontId="0" fillId="0" borderId="43" xfId="0" applyNumberFormat="1" applyBorder="1" applyAlignment="1">
      <alignment horizontal="center"/>
    </xf>
    <xf numFmtId="0" fontId="9" fillId="0" borderId="0" xfId="2" applyBorder="1"/>
    <xf numFmtId="0" fontId="50" fillId="14" borderId="12" xfId="1" applyFont="1" applyFill="1" applyBorder="1" applyAlignment="1">
      <alignment horizontal="center" vertical="center" wrapText="1"/>
    </xf>
    <xf numFmtId="0" fontId="51" fillId="14" borderId="12" xfId="1" applyFont="1" applyFill="1" applyBorder="1" applyAlignment="1">
      <alignment horizontal="center" vertical="center" wrapText="1"/>
    </xf>
    <xf numFmtId="0" fontId="51" fillId="14" borderId="47" xfId="1" applyFont="1" applyFill="1" applyBorder="1" applyAlignment="1">
      <alignment horizontal="center" vertical="center" wrapText="1"/>
    </xf>
    <xf numFmtId="0" fontId="51" fillId="14" borderId="63" xfId="1" applyFont="1" applyFill="1" applyBorder="1" applyAlignment="1">
      <alignment horizontal="center" vertical="center" wrapText="1"/>
    </xf>
    <xf numFmtId="0" fontId="51" fillId="14" borderId="9" xfId="1" applyFont="1" applyFill="1" applyBorder="1" applyAlignment="1">
      <alignment horizontal="center" vertical="center" wrapText="1"/>
    </xf>
    <xf numFmtId="0" fontId="51" fillId="14" borderId="22" xfId="1" applyFont="1" applyFill="1" applyBorder="1" applyAlignment="1">
      <alignment horizontal="center" vertical="center" wrapText="1"/>
    </xf>
    <xf numFmtId="0" fontId="51" fillId="14" borderId="64" xfId="1" applyFont="1" applyFill="1" applyBorder="1" applyAlignment="1">
      <alignment horizontal="center" vertical="center" wrapText="1"/>
    </xf>
    <xf numFmtId="0" fontId="0" fillId="0" borderId="1" xfId="0" applyBorder="1" applyAlignment="1">
      <alignment horizontal="center" vertical="center"/>
    </xf>
    <xf numFmtId="0" fontId="29" fillId="0" borderId="1" xfId="0" applyFont="1" applyBorder="1" applyAlignment="1">
      <alignment horizontal="left" vertical="center" wrapText="1"/>
    </xf>
    <xf numFmtId="0" fontId="21" fillId="0" borderId="1" xfId="1" applyFont="1" applyBorder="1" applyAlignment="1">
      <alignment horizontal="center" vertical="center" wrapText="1"/>
    </xf>
    <xf numFmtId="0" fontId="8" fillId="0" borderId="1" xfId="1" applyFont="1" applyBorder="1" applyAlignment="1">
      <alignment vertical="center" wrapText="1"/>
    </xf>
    <xf numFmtId="0" fontId="8" fillId="0" borderId="1" xfId="1" applyFont="1" applyBorder="1" applyAlignment="1">
      <alignment vertical="center"/>
    </xf>
    <xf numFmtId="0" fontId="52" fillId="14" borderId="12" xfId="1" applyFont="1" applyFill="1" applyBorder="1" applyAlignment="1">
      <alignment horizontal="center" vertical="center" wrapText="1"/>
    </xf>
    <xf numFmtId="0" fontId="52" fillId="14" borderId="9" xfId="1" applyFont="1" applyFill="1" applyBorder="1" applyAlignment="1">
      <alignment horizontal="center" vertical="center" wrapText="1"/>
    </xf>
    <xf numFmtId="0" fontId="51" fillId="14" borderId="65" xfId="1" applyFont="1" applyFill="1" applyBorder="1" applyAlignment="1">
      <alignment horizontal="center" vertical="center" wrapText="1"/>
    </xf>
    <xf numFmtId="0" fontId="24" fillId="0" borderId="0" xfId="0" applyFont="1"/>
    <xf numFmtId="0" fontId="24" fillId="0" borderId="0" xfId="0" applyFont="1" applyAlignment="1">
      <alignment vertical="top" wrapText="1"/>
    </xf>
    <xf numFmtId="0" fontId="57" fillId="0" borderId="0" xfId="0" applyFont="1" applyAlignment="1">
      <alignment horizontal="center" vertical="top" wrapText="1"/>
    </xf>
    <xf numFmtId="0" fontId="0" fillId="0" borderId="5" xfId="0" applyBorder="1" applyAlignment="1">
      <alignment horizontal="center" vertical="center"/>
    </xf>
    <xf numFmtId="0" fontId="0" fillId="0" borderId="5" xfId="0" applyBorder="1" applyAlignment="1">
      <alignment horizontal="left" vertical="center"/>
    </xf>
    <xf numFmtId="0" fontId="0" fillId="0" borderId="5" xfId="0" applyBorder="1" applyAlignment="1">
      <alignment horizontal="left" vertical="center" wrapText="1"/>
    </xf>
    <xf numFmtId="0" fontId="0" fillId="0" borderId="0" xfId="0" applyAlignment="1">
      <alignment horizontal="left" vertical="center"/>
    </xf>
    <xf numFmtId="0" fontId="52" fillId="14" borderId="37" xfId="1" applyFont="1" applyFill="1" applyBorder="1" applyAlignment="1">
      <alignment horizontal="center" vertical="center" wrapText="1"/>
    </xf>
    <xf numFmtId="0" fontId="39" fillId="0" borderId="10" xfId="1" applyFont="1" applyBorder="1" applyAlignment="1" applyProtection="1">
      <alignment horizontal="center" vertical="center" wrapText="1"/>
      <protection locked="0"/>
    </xf>
    <xf numFmtId="0" fontId="52" fillId="14" borderId="63" xfId="1" applyFont="1" applyFill="1" applyBorder="1" applyAlignment="1">
      <alignment horizontal="center" vertical="center" wrapText="1"/>
    </xf>
    <xf numFmtId="0" fontId="52" fillId="14" borderId="20" xfId="1" applyFont="1" applyFill="1" applyBorder="1" applyAlignment="1">
      <alignment horizontal="center" vertical="center" wrapText="1"/>
    </xf>
    <xf numFmtId="0" fontId="50" fillId="14" borderId="37" xfId="1" applyFont="1" applyFill="1" applyBorder="1" applyAlignment="1">
      <alignment horizontal="center" vertical="center" wrapText="1"/>
    </xf>
    <xf numFmtId="0" fontId="10" fillId="0" borderId="10" xfId="1" applyFont="1" applyBorder="1" applyAlignment="1" applyProtection="1">
      <alignment horizontal="center" vertical="center" wrapText="1"/>
      <protection locked="0"/>
    </xf>
    <xf numFmtId="0" fontId="50" fillId="14" borderId="63" xfId="1" applyFont="1" applyFill="1" applyBorder="1" applyAlignment="1">
      <alignment horizontal="center" vertical="center" wrapText="1"/>
    </xf>
    <xf numFmtId="0" fontId="50" fillId="14" borderId="20" xfId="1" applyFont="1" applyFill="1" applyBorder="1" applyAlignment="1">
      <alignment horizontal="center" vertical="center" wrapText="1"/>
    </xf>
    <xf numFmtId="0" fontId="8" fillId="0" borderId="49" xfId="1" applyFont="1" applyBorder="1" applyAlignment="1" applyProtection="1">
      <alignment vertical="center" wrapText="1"/>
      <protection locked="0"/>
    </xf>
    <xf numFmtId="0" fontId="38" fillId="0" borderId="29" xfId="1" applyFont="1" applyBorder="1" applyAlignment="1" applyProtection="1">
      <alignment vertical="center" wrapText="1"/>
      <protection locked="0"/>
    </xf>
    <xf numFmtId="0" fontId="38" fillId="0" borderId="50" xfId="1" applyFont="1" applyBorder="1" applyAlignment="1" applyProtection="1">
      <alignment vertical="center" wrapText="1"/>
      <protection locked="0"/>
    </xf>
    <xf numFmtId="0" fontId="36" fillId="0" borderId="0" xfId="0" applyFont="1" applyAlignment="1">
      <alignment horizontal="center"/>
    </xf>
    <xf numFmtId="0" fontId="38" fillId="9" borderId="5" xfId="1" applyFont="1" applyFill="1" applyBorder="1" applyAlignment="1" applyProtection="1">
      <alignment horizontal="center" vertical="center"/>
      <protection hidden="1"/>
    </xf>
    <xf numFmtId="0" fontId="38" fillId="9" borderId="5" xfId="1" applyFont="1" applyFill="1" applyBorder="1" applyAlignment="1" applyProtection="1">
      <alignment vertical="center" wrapText="1"/>
      <protection hidden="1"/>
    </xf>
    <xf numFmtId="0" fontId="38" fillId="9" borderId="5" xfId="1" applyFont="1" applyFill="1" applyBorder="1" applyAlignment="1" applyProtection="1">
      <alignment horizontal="center" vertical="center" wrapText="1"/>
      <protection hidden="1"/>
    </xf>
    <xf numFmtId="0" fontId="51" fillId="14" borderId="24" xfId="1" applyFont="1" applyFill="1" applyBorder="1" applyAlignment="1">
      <alignment horizontal="center" vertical="center" wrapText="1"/>
    </xf>
    <xf numFmtId="0" fontId="29" fillId="0" borderId="5" xfId="0" applyFont="1" applyBorder="1" applyAlignment="1">
      <alignment horizontal="left" vertical="center" wrapText="1"/>
    </xf>
    <xf numFmtId="0" fontId="10" fillId="0" borderId="5" xfId="1" applyFont="1" applyBorder="1" applyAlignment="1">
      <alignment horizontal="center" vertical="center"/>
    </xf>
    <xf numFmtId="0" fontId="8" fillId="0" borderId="5" xfId="1" applyFont="1" applyBorder="1" applyAlignment="1">
      <alignment vertical="center" wrapText="1"/>
    </xf>
    <xf numFmtId="0" fontId="26" fillId="0" borderId="5" xfId="0" applyFont="1" applyBorder="1" applyAlignment="1">
      <alignment horizontal="center" vertical="center"/>
    </xf>
    <xf numFmtId="0" fontId="8" fillId="0" borderId="5" xfId="1" applyFont="1" applyBorder="1" applyAlignment="1">
      <alignment vertical="center"/>
    </xf>
    <xf numFmtId="0" fontId="26" fillId="7" borderId="5" xfId="0" applyFont="1" applyFill="1" applyBorder="1" applyAlignment="1">
      <alignment horizontal="left" wrapText="1"/>
    </xf>
    <xf numFmtId="0" fontId="30" fillId="7" borderId="5" xfId="0" applyFont="1" applyFill="1" applyBorder="1" applyAlignment="1">
      <alignment horizontal="left" wrapText="1"/>
    </xf>
    <xf numFmtId="0" fontId="0" fillId="6" borderId="5" xfId="0" applyFill="1" applyBorder="1" applyAlignment="1">
      <alignment vertical="center" wrapText="1"/>
    </xf>
    <xf numFmtId="0" fontId="8" fillId="0" borderId="5" xfId="1" applyFont="1" applyBorder="1" applyAlignment="1">
      <alignment wrapText="1"/>
    </xf>
    <xf numFmtId="0" fontId="29" fillId="0" borderId="5" xfId="0" applyFont="1" applyBorder="1" applyAlignment="1">
      <alignment vertical="center" wrapText="1"/>
    </xf>
    <xf numFmtId="0" fontId="51" fillId="14" borderId="69" xfId="1" applyFont="1" applyFill="1" applyBorder="1" applyAlignment="1">
      <alignment horizontal="center" vertical="center" wrapText="1"/>
    </xf>
    <xf numFmtId="0" fontId="51" fillId="14" borderId="18" xfId="1" applyFont="1" applyFill="1" applyBorder="1" applyAlignment="1">
      <alignment horizontal="center" vertical="center" wrapText="1"/>
    </xf>
    <xf numFmtId="0" fontId="51" fillId="14" borderId="70" xfId="1" applyFont="1" applyFill="1" applyBorder="1" applyAlignment="1">
      <alignment horizontal="center" vertical="center" wrapText="1"/>
    </xf>
    <xf numFmtId="0" fontId="0" fillId="0" borderId="26" xfId="0" applyBorder="1" applyAlignment="1">
      <alignment horizontal="center" vertical="center"/>
    </xf>
    <xf numFmtId="0" fontId="29" fillId="0" borderId="26" xfId="0" applyFont="1" applyBorder="1" applyAlignment="1">
      <alignment horizontal="left" vertical="center" wrapText="1"/>
    </xf>
    <xf numFmtId="0" fontId="21" fillId="0" borderId="40" xfId="1" applyFont="1" applyBorder="1" applyAlignment="1">
      <alignment horizontal="center" vertical="center" wrapText="1"/>
    </xf>
    <xf numFmtId="0" fontId="21" fillId="0" borderId="41" xfId="1" applyFont="1" applyBorder="1" applyAlignment="1">
      <alignment horizontal="center" vertical="center" wrapText="1"/>
    </xf>
    <xf numFmtId="0" fontId="8" fillId="0" borderId="42" xfId="1" applyFont="1" applyBorder="1" applyAlignment="1">
      <alignment vertical="center" wrapText="1"/>
    </xf>
    <xf numFmtId="0" fontId="8" fillId="0" borderId="42" xfId="1" applyFont="1" applyBorder="1" applyAlignment="1">
      <alignment vertical="center"/>
    </xf>
    <xf numFmtId="0" fontId="21" fillId="0" borderId="43" xfId="1" applyFont="1" applyBorder="1" applyAlignment="1">
      <alignment horizontal="center" vertical="center" wrapText="1"/>
    </xf>
    <xf numFmtId="0" fontId="38" fillId="0" borderId="49" xfId="1" applyFont="1" applyBorder="1" applyAlignment="1" applyProtection="1">
      <alignment vertical="center" wrapText="1"/>
      <protection locked="0"/>
    </xf>
    <xf numFmtId="0" fontId="38" fillId="0" borderId="27" xfId="1" applyFont="1" applyBorder="1" applyAlignment="1" applyProtection="1">
      <alignment vertical="center" wrapText="1"/>
      <protection locked="0"/>
    </xf>
    <xf numFmtId="0" fontId="38" fillId="0" borderId="52" xfId="1" applyFont="1" applyBorder="1" applyAlignment="1" applyProtection="1">
      <alignment vertical="center" wrapText="1"/>
      <protection locked="0"/>
    </xf>
    <xf numFmtId="2" fontId="0" fillId="0" borderId="72" xfId="0" applyNumberFormat="1" applyBorder="1" applyAlignment="1">
      <alignment horizontal="center"/>
    </xf>
    <xf numFmtId="0" fontId="27" fillId="0" borderId="0" xfId="0" applyFont="1" applyAlignment="1">
      <alignment vertical="center" wrapText="1" readingOrder="1"/>
    </xf>
    <xf numFmtId="0" fontId="24" fillId="0" borderId="0" xfId="0" applyFont="1" applyAlignment="1">
      <alignment horizontal="left" vertical="top" wrapText="1"/>
    </xf>
    <xf numFmtId="0" fontId="0" fillId="0" borderId="0" xfId="0" applyAlignment="1">
      <alignment wrapText="1"/>
    </xf>
    <xf numFmtId="0" fontId="9" fillId="0" borderId="0" xfId="2" applyBorder="1" applyAlignment="1" applyProtection="1">
      <alignment wrapText="1"/>
      <protection locked="0"/>
    </xf>
    <xf numFmtId="0" fontId="9" fillId="0" borderId="0" xfId="2" applyAlignment="1">
      <alignment horizontal="right" indent="1"/>
    </xf>
    <xf numFmtId="0" fontId="9" fillId="0" borderId="0" xfId="2" applyAlignment="1">
      <alignment horizontal="right"/>
    </xf>
    <xf numFmtId="0" fontId="9" fillId="0" borderId="0" xfId="2" applyFill="1" applyBorder="1" applyAlignment="1" applyProtection="1">
      <alignment wrapText="1"/>
      <protection locked="0"/>
    </xf>
    <xf numFmtId="0" fontId="0" fillId="0" borderId="0" xfId="0" applyAlignment="1">
      <alignment vertical="top" wrapText="1"/>
    </xf>
    <xf numFmtId="2" fontId="9" fillId="0" borderId="57" xfId="2" applyNumberFormat="1" applyBorder="1" applyAlignment="1">
      <alignment horizontal="center"/>
    </xf>
    <xf numFmtId="2" fontId="9" fillId="0" borderId="29" xfId="2" applyNumberFormat="1" applyBorder="1" applyAlignment="1">
      <alignment horizontal="center"/>
    </xf>
    <xf numFmtId="2" fontId="9" fillId="0" borderId="34" xfId="2" applyNumberFormat="1" applyBorder="1" applyAlignment="1">
      <alignment horizontal="center"/>
    </xf>
    <xf numFmtId="0" fontId="8" fillId="6" borderId="5" xfId="1" applyFont="1" applyFill="1" applyBorder="1" applyAlignment="1">
      <alignment horizontal="center" vertical="center"/>
    </xf>
    <xf numFmtId="0" fontId="35" fillId="6" borderId="0" xfId="1" applyFont="1" applyFill="1" applyAlignment="1">
      <alignment horizontal="center" vertical="center" wrapText="1"/>
    </xf>
    <xf numFmtId="0" fontId="35" fillId="6" borderId="66" xfId="1" applyFont="1" applyFill="1" applyBorder="1" applyAlignment="1">
      <alignment horizontal="center" vertical="center"/>
    </xf>
    <xf numFmtId="0" fontId="53" fillId="6" borderId="0" xfId="0" applyFont="1" applyFill="1" applyAlignment="1">
      <alignment horizontal="left" vertical="center" wrapText="1"/>
    </xf>
    <xf numFmtId="0" fontId="53" fillId="0" borderId="0" xfId="0" applyFont="1" applyAlignment="1">
      <alignment vertical="center" wrapText="1"/>
    </xf>
    <xf numFmtId="0" fontId="17" fillId="4" borderId="79" xfId="0" applyFont="1" applyFill="1" applyBorder="1" applyAlignment="1">
      <alignment horizontal="center" vertical="center"/>
    </xf>
    <xf numFmtId="0" fontId="17" fillId="4" borderId="56" xfId="0" applyFont="1" applyFill="1" applyBorder="1" applyAlignment="1">
      <alignment horizontal="center" vertical="center"/>
    </xf>
    <xf numFmtId="0" fontId="17" fillId="4" borderId="19" xfId="0" applyFont="1" applyFill="1" applyBorder="1" applyAlignment="1">
      <alignment horizontal="center" vertical="center"/>
    </xf>
    <xf numFmtId="0" fontId="53" fillId="0" borderId="0" xfId="0" applyFont="1" applyAlignment="1">
      <alignment horizontal="left" vertical="center" wrapText="1"/>
    </xf>
    <xf numFmtId="0" fontId="53" fillId="0" borderId="0" xfId="0" applyFont="1" applyAlignment="1">
      <alignment horizontal="left" vertical="top" wrapText="1"/>
    </xf>
    <xf numFmtId="0" fontId="17" fillId="4" borderId="25" xfId="0" applyFont="1" applyFill="1" applyBorder="1" applyAlignment="1">
      <alignment horizontal="center" vertical="center"/>
    </xf>
    <xf numFmtId="0" fontId="17" fillId="4" borderId="45" xfId="0" applyFont="1" applyFill="1" applyBorder="1" applyAlignment="1">
      <alignment horizontal="center" vertical="center"/>
    </xf>
    <xf numFmtId="0" fontId="24" fillId="0" borderId="0" xfId="0" applyFont="1" applyAlignment="1">
      <alignment horizontal="left" vertical="top" wrapText="1"/>
    </xf>
    <xf numFmtId="0" fontId="21" fillId="0" borderId="0" xfId="0" applyFont="1" applyAlignment="1">
      <alignment horizontal="left" vertical="top" wrapText="1"/>
    </xf>
    <xf numFmtId="0" fontId="9" fillId="0" borderId="0" xfId="2" applyAlignment="1">
      <alignment horizontal="center" vertical="top" wrapText="1"/>
    </xf>
    <xf numFmtId="0" fontId="57" fillId="0" borderId="0" xfId="0" applyFont="1" applyAlignment="1">
      <alignment horizontal="center" vertical="top" wrapText="1"/>
    </xf>
    <xf numFmtId="0" fontId="55" fillId="0" borderId="0" xfId="0" applyFont="1" applyAlignment="1">
      <alignment horizontal="center"/>
    </xf>
    <xf numFmtId="0" fontId="0" fillId="0" borderId="0" xfId="0" applyAlignment="1">
      <alignment horizontal="left" vertical="top" wrapText="1"/>
    </xf>
    <xf numFmtId="0" fontId="0" fillId="0" borderId="0" xfId="0" applyAlignment="1">
      <alignment horizontal="center"/>
    </xf>
    <xf numFmtId="2" fontId="17" fillId="5" borderId="36" xfId="0" applyNumberFormat="1" applyFont="1" applyFill="1" applyBorder="1" applyAlignment="1">
      <alignment horizontal="center" vertical="center"/>
    </xf>
    <xf numFmtId="2" fontId="17" fillId="5" borderId="46" xfId="0" applyNumberFormat="1" applyFont="1" applyFill="1" applyBorder="1" applyAlignment="1">
      <alignment horizontal="center" vertical="center"/>
    </xf>
    <xf numFmtId="0" fontId="27" fillId="0" borderId="0" xfId="0" applyFont="1" applyAlignment="1">
      <alignment horizontal="center" vertical="center" wrapText="1" readingOrder="1"/>
    </xf>
    <xf numFmtId="0" fontId="25" fillId="0" borderId="0" xfId="0" applyFont="1" applyAlignment="1">
      <alignment horizontal="center" vertical="center" wrapText="1" readingOrder="1"/>
    </xf>
    <xf numFmtId="2" fontId="17" fillId="5" borderId="20" xfId="0" applyNumberFormat="1" applyFont="1" applyFill="1" applyBorder="1" applyAlignment="1">
      <alignment horizontal="center" vertical="center"/>
    </xf>
    <xf numFmtId="2" fontId="17" fillId="5" borderId="21" xfId="0" applyNumberFormat="1" applyFont="1" applyFill="1" applyBorder="1" applyAlignment="1">
      <alignment horizontal="center" vertical="center"/>
    </xf>
    <xf numFmtId="2" fontId="17" fillId="5" borderId="36" xfId="0" applyNumberFormat="1" applyFont="1" applyFill="1" applyBorder="1" applyAlignment="1">
      <alignment horizontal="center" vertical="center" wrapText="1"/>
    </xf>
    <xf numFmtId="2" fontId="17" fillId="5" borderId="21" xfId="0" applyNumberFormat="1" applyFont="1" applyFill="1" applyBorder="1" applyAlignment="1">
      <alignment horizontal="center" vertical="center" wrapText="1"/>
    </xf>
    <xf numFmtId="0" fontId="0" fillId="6" borderId="0" xfId="0" applyFill="1" applyAlignment="1">
      <alignment horizontal="center"/>
    </xf>
    <xf numFmtId="0" fontId="28" fillId="0" borderId="0" xfId="0" applyFont="1" applyAlignment="1">
      <alignment horizontal="center" vertical="center" wrapText="1"/>
    </xf>
    <xf numFmtId="0" fontId="20" fillId="0" borderId="62" xfId="1" applyFont="1" applyBorder="1" applyAlignment="1">
      <alignment horizontal="center" vertical="center"/>
    </xf>
    <xf numFmtId="0" fontId="20" fillId="0" borderId="56" xfId="1" applyFont="1" applyBorder="1" applyAlignment="1">
      <alignment horizontal="center" vertical="center"/>
    </xf>
    <xf numFmtId="0" fontId="20" fillId="0" borderId="19" xfId="1" applyFont="1" applyBorder="1" applyAlignment="1">
      <alignment horizontal="center" vertical="center"/>
    </xf>
    <xf numFmtId="0" fontId="54" fillId="0" borderId="62" xfId="1" applyFont="1" applyBorder="1" applyAlignment="1">
      <alignment horizontal="center" vertical="center"/>
    </xf>
    <xf numFmtId="0" fontId="54" fillId="0" borderId="56" xfId="1" applyFont="1" applyBorder="1" applyAlignment="1">
      <alignment horizontal="center" vertical="center"/>
    </xf>
    <xf numFmtId="0" fontId="54" fillId="0" borderId="19" xfId="1" applyFont="1" applyBorder="1" applyAlignment="1">
      <alignment horizontal="center" vertical="center"/>
    </xf>
    <xf numFmtId="0" fontId="22" fillId="0" borderId="15" xfId="1" applyFont="1" applyBorder="1" applyAlignment="1">
      <alignment horizontal="center"/>
    </xf>
    <xf numFmtId="0" fontId="22" fillId="0" borderId="57" xfId="1" applyFont="1" applyBorder="1" applyAlignment="1">
      <alignment horizontal="center"/>
    </xf>
    <xf numFmtId="0" fontId="27" fillId="0" borderId="37" xfId="0" applyFont="1" applyBorder="1" applyAlignment="1">
      <alignment horizontal="center" vertical="center" wrapText="1"/>
    </xf>
    <xf numFmtId="0" fontId="27" fillId="0" borderId="0" xfId="0" applyFont="1" applyAlignment="1">
      <alignment horizontal="center" vertical="center" wrapText="1"/>
    </xf>
    <xf numFmtId="2" fontId="32" fillId="11" borderId="20" xfId="0" applyNumberFormat="1" applyFont="1" applyFill="1" applyBorder="1" applyAlignment="1">
      <alignment horizontal="center" vertical="center" wrapText="1"/>
    </xf>
    <xf numFmtId="2" fontId="32" fillId="11" borderId="21" xfId="0" applyNumberFormat="1" applyFont="1" applyFill="1" applyBorder="1" applyAlignment="1">
      <alignment horizontal="center" vertical="center" wrapText="1"/>
    </xf>
    <xf numFmtId="2" fontId="17" fillId="5" borderId="20" xfId="0" applyNumberFormat="1" applyFont="1" applyFill="1" applyBorder="1" applyAlignment="1">
      <alignment horizontal="center" vertical="center" wrapText="1"/>
    </xf>
    <xf numFmtId="2" fontId="32" fillId="11" borderId="14" xfId="0" applyNumberFormat="1" applyFont="1" applyFill="1" applyBorder="1" applyAlignment="1">
      <alignment horizontal="center" vertical="center" wrapText="1"/>
    </xf>
    <xf numFmtId="0" fontId="22" fillId="0" borderId="0" xfId="1" applyFont="1" applyAlignment="1">
      <alignment horizontal="center"/>
    </xf>
    <xf numFmtId="0" fontId="22" fillId="0" borderId="66" xfId="1" applyFont="1" applyBorder="1" applyAlignment="1">
      <alignment horizontal="center"/>
    </xf>
    <xf numFmtId="0" fontId="46" fillId="0" borderId="37" xfId="0" applyFont="1" applyBorder="1" applyAlignment="1">
      <alignment horizontal="center" vertical="center" wrapText="1"/>
    </xf>
    <xf numFmtId="0" fontId="46" fillId="0" borderId="0" xfId="0" applyFont="1" applyAlignment="1">
      <alignment horizontal="center" vertical="center" wrapText="1"/>
    </xf>
    <xf numFmtId="0" fontId="45" fillId="0" borderId="62" xfId="1" applyFont="1" applyBorder="1" applyAlignment="1">
      <alignment horizontal="center" vertical="center"/>
    </xf>
    <xf numFmtId="0" fontId="45" fillId="0" borderId="19" xfId="1" applyFont="1" applyBorder="1" applyAlignment="1">
      <alignment horizontal="center" vertical="center"/>
    </xf>
    <xf numFmtId="0" fontId="6" fillId="4" borderId="74" xfId="0" applyFont="1" applyFill="1" applyBorder="1" applyAlignment="1">
      <alignment horizontal="center" vertical="center"/>
    </xf>
    <xf numFmtId="0" fontId="6" fillId="4" borderId="75" xfId="0" applyFont="1" applyFill="1" applyBorder="1" applyAlignment="1">
      <alignment horizontal="center" vertical="center"/>
    </xf>
    <xf numFmtId="0" fontId="6" fillId="4" borderId="10"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47" xfId="0" applyFont="1" applyFill="1" applyBorder="1" applyAlignment="1">
      <alignment horizontal="center" vertical="center"/>
    </xf>
    <xf numFmtId="0" fontId="6" fillId="4" borderId="49" xfId="0" applyFont="1" applyFill="1" applyBorder="1" applyAlignment="1">
      <alignment horizontal="center" vertical="center"/>
    </xf>
    <xf numFmtId="0" fontId="6" fillId="4" borderId="52" xfId="0" applyFont="1" applyFill="1" applyBorder="1" applyAlignment="1">
      <alignment horizontal="center" vertical="center"/>
    </xf>
    <xf numFmtId="0" fontId="37" fillId="0" borderId="36" xfId="1" applyFont="1" applyBorder="1" applyAlignment="1">
      <alignment horizontal="center" vertical="center" wrapText="1"/>
    </xf>
    <xf numFmtId="0" fontId="37" fillId="0" borderId="19" xfId="1" applyFont="1" applyBorder="1" applyAlignment="1">
      <alignment horizontal="center" vertical="center" wrapText="1"/>
    </xf>
  </cellXfs>
  <cellStyles count="4">
    <cellStyle name="Hipervínculo" xfId="2" builtinId="8"/>
    <cellStyle name="Normal" xfId="0" builtinId="0"/>
    <cellStyle name="Normal 2" xfId="1" xr:uid="{A656C945-9216-EF4F-95CA-47B01A9F4D72}"/>
    <cellStyle name="Porcentaje" xfId="3" builtinId="5"/>
  </cellStyles>
  <dxfs count="0"/>
  <tableStyles count="0" defaultTableStyle="TableStyleMedium2" defaultPivotStyle="PivotStyleLight16"/>
  <colors>
    <mruColors>
      <color rgb="FF3166CA"/>
      <color rgb="FFF954A2"/>
      <color rgb="FFD9DFE8"/>
      <color rgb="FFD6DDE4"/>
      <color rgb="FFCACFD8"/>
      <color rgb="FFF854A2"/>
      <color rgb="FF4D7CD2"/>
      <color rgb="FFCB10AA"/>
      <color rgb="FFF754A1"/>
      <color rgb="FFED0E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r>
              <a:rPr lang="es-ES_tradnl">
                <a:ln>
                  <a:solidFill>
                    <a:srgbClr val="F754A1"/>
                  </a:solidFill>
                </a:ln>
                <a:solidFill>
                  <a:srgbClr val="CB10AA"/>
                </a:solidFill>
              </a:rPr>
              <a:t>Madurez MRae</a:t>
            </a:r>
          </a:p>
        </c:rich>
      </c:tx>
      <c:overlay val="0"/>
      <c:spPr>
        <a:noFill/>
        <a:ln>
          <a:noFill/>
        </a:ln>
        <a:effectLst/>
      </c:spPr>
      <c:txPr>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endParaRPr lang="es-CO"/>
        </a:p>
      </c:txPr>
    </c:title>
    <c:autoTitleDeleted val="0"/>
    <c:plotArea>
      <c:layout/>
      <c:radarChart>
        <c:radarStyle val="marker"/>
        <c:varyColors val="0"/>
        <c:ser>
          <c:idx val="0"/>
          <c:order val="0"/>
          <c:tx>
            <c:strRef>
              <c:f>'0.MRAE'!$I$11</c:f>
              <c:strCache>
                <c:ptCount val="1"/>
                <c:pt idx="0">
                  <c:v>Puntaje</c:v>
                </c:pt>
              </c:strCache>
            </c:strRef>
          </c:tx>
          <c:spPr>
            <a:ln w="25400" cap="rnd" cmpd="sng" algn="ctr">
              <a:solidFill>
                <a:srgbClr val="F754A1"/>
              </a:solidFill>
              <a:prstDash val="sysDot"/>
              <a:round/>
            </a:ln>
            <a:effectLst/>
          </c:spPr>
          <c:marker>
            <c:symbol val="none"/>
          </c:marker>
          <c:cat>
            <c:strRef>
              <c:f>'0.MRAE'!$C$13:$C$15</c:f>
              <c:strCache>
                <c:ptCount val="3"/>
                <c:pt idx="0">
                  <c:v>Arquitectura Empresarial</c:v>
                </c:pt>
                <c:pt idx="1">
                  <c:v>Gestión y Gobierno de TI</c:v>
                </c:pt>
                <c:pt idx="2">
                  <c:v>Gestion de Proyectos de TI</c:v>
                </c:pt>
              </c:strCache>
            </c:strRef>
          </c:cat>
          <c:val>
            <c:numRef>
              <c:f>'0.MRAE'!$I$13:$I$15</c:f>
              <c:numCache>
                <c:formatCode>0.00</c:formatCode>
                <c:ptCount val="3"/>
                <c:pt idx="0">
                  <c:v>5</c:v>
                </c:pt>
                <c:pt idx="1">
                  <c:v>5</c:v>
                </c:pt>
                <c:pt idx="2">
                  <c:v>5</c:v>
                </c:pt>
              </c:numCache>
            </c:numRef>
          </c:val>
          <c:extLst>
            <c:ext xmlns:c16="http://schemas.microsoft.com/office/drawing/2014/chart" uri="{C3380CC4-5D6E-409C-BE32-E72D297353CC}">
              <c16:uniqueId val="{00000000-7966-F24E-8C2B-E77A7BA6014A}"/>
            </c:ext>
          </c:extLst>
        </c:ser>
        <c:dLbls>
          <c:showLegendKey val="0"/>
          <c:showVal val="0"/>
          <c:showCatName val="0"/>
          <c:showSerName val="0"/>
          <c:showPercent val="0"/>
          <c:showBubbleSize val="0"/>
        </c:dLbls>
        <c:axId val="694577408"/>
        <c:axId val="694577080"/>
      </c:radarChart>
      <c:catAx>
        <c:axId val="69457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3166CA"/>
                </a:solidFill>
                <a:latin typeface="+mn-lt"/>
                <a:ea typeface="+mn-ea"/>
                <a:cs typeface="+mn-cs"/>
              </a:defRPr>
            </a:pPr>
            <a:endParaRPr lang="es-CO"/>
          </a:p>
        </c:txPr>
        <c:crossAx val="694577080"/>
        <c:crosses val="autoZero"/>
        <c:auto val="1"/>
        <c:lblAlgn val="ctr"/>
        <c:lblOffset val="100"/>
        <c:noMultiLvlLbl val="0"/>
      </c:catAx>
      <c:valAx>
        <c:axId val="694577080"/>
        <c:scaling>
          <c:orientation val="minMax"/>
          <c:max val="5"/>
          <c:min val="0"/>
        </c:scaling>
        <c:delete val="0"/>
        <c:axPos val="l"/>
        <c:majorGridlines>
          <c:spPr>
            <a:ln w="19050"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9457740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r>
              <a:rPr lang="es-ES_tradnl">
                <a:ln>
                  <a:solidFill>
                    <a:srgbClr val="F754A1"/>
                  </a:solidFill>
                </a:ln>
                <a:solidFill>
                  <a:srgbClr val="CB10AA"/>
                </a:solidFill>
              </a:rPr>
              <a:t>Madurez gestión de información</a:t>
            </a:r>
          </a:p>
        </c:rich>
      </c:tx>
      <c:overlay val="0"/>
      <c:spPr>
        <a:noFill/>
        <a:ln>
          <a:noFill/>
        </a:ln>
        <a:effectLst/>
      </c:spPr>
      <c:txPr>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endParaRPr lang="es-CO"/>
        </a:p>
      </c:txPr>
    </c:title>
    <c:autoTitleDeleted val="0"/>
    <c:plotArea>
      <c:layout/>
      <c:radarChart>
        <c:radarStyle val="marker"/>
        <c:varyColors val="0"/>
        <c:ser>
          <c:idx val="0"/>
          <c:order val="0"/>
          <c:tx>
            <c:strRef>
              <c:f>'2.MGGTI'!$I$17</c:f>
              <c:strCache>
                <c:ptCount val="1"/>
                <c:pt idx="0">
                  <c:v>Puntaje</c:v>
                </c:pt>
              </c:strCache>
            </c:strRef>
          </c:tx>
          <c:spPr>
            <a:ln w="25400" cap="rnd" cmpd="sng" algn="ctr">
              <a:solidFill>
                <a:srgbClr val="F754A1"/>
              </a:solidFill>
              <a:prstDash val="sysDot"/>
              <a:round/>
            </a:ln>
            <a:effectLst/>
          </c:spPr>
          <c:marker>
            <c:symbol val="none"/>
          </c:marker>
          <c:cat>
            <c:strRef>
              <c:f>'2.MGGTI'!$C$59:$C$62</c:f>
              <c:strCache>
                <c:ptCount val="4"/>
                <c:pt idx="0">
                  <c:v>Gestión del Ciclo de vida y gobierno de la Información
</c:v>
                </c:pt>
                <c:pt idx="1">
                  <c:v>Gestión de los tipos de datos</c:v>
                </c:pt>
                <c:pt idx="2">
                  <c:v>Calidad</c:v>
                </c:pt>
                <c:pt idx="3">
                  <c:v>Uso y aprovechamiento</c:v>
                </c:pt>
              </c:strCache>
            </c:strRef>
          </c:cat>
          <c:val>
            <c:numRef>
              <c:f>'2.MGGTI'!$I$59:$I$62</c:f>
              <c:numCache>
                <c:formatCode>0.00</c:formatCode>
                <c:ptCount val="4"/>
                <c:pt idx="0">
                  <c:v>5</c:v>
                </c:pt>
                <c:pt idx="1">
                  <c:v>5</c:v>
                </c:pt>
                <c:pt idx="2">
                  <c:v>5</c:v>
                </c:pt>
                <c:pt idx="3">
                  <c:v>5</c:v>
                </c:pt>
              </c:numCache>
            </c:numRef>
          </c:val>
          <c:extLst>
            <c:ext xmlns:c16="http://schemas.microsoft.com/office/drawing/2014/chart" uri="{C3380CC4-5D6E-409C-BE32-E72D297353CC}">
              <c16:uniqueId val="{00000000-203E-5742-BDF1-BA4ECD4718D7}"/>
            </c:ext>
          </c:extLst>
        </c:ser>
        <c:dLbls>
          <c:showLegendKey val="0"/>
          <c:showVal val="0"/>
          <c:showCatName val="0"/>
          <c:showSerName val="0"/>
          <c:showPercent val="0"/>
          <c:showBubbleSize val="0"/>
        </c:dLbls>
        <c:axId val="694577408"/>
        <c:axId val="694577080"/>
      </c:radarChart>
      <c:catAx>
        <c:axId val="69457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3166CA"/>
                </a:solidFill>
                <a:latin typeface="+mn-lt"/>
                <a:ea typeface="+mn-ea"/>
                <a:cs typeface="+mn-cs"/>
              </a:defRPr>
            </a:pPr>
            <a:endParaRPr lang="es-CO"/>
          </a:p>
        </c:txPr>
        <c:crossAx val="694577080"/>
        <c:crosses val="autoZero"/>
        <c:auto val="1"/>
        <c:lblAlgn val="ctr"/>
        <c:lblOffset val="100"/>
        <c:noMultiLvlLbl val="0"/>
      </c:catAx>
      <c:valAx>
        <c:axId val="694577080"/>
        <c:scaling>
          <c:orientation val="minMax"/>
          <c:max val="5"/>
          <c:min val="0"/>
        </c:scaling>
        <c:delete val="0"/>
        <c:axPos val="l"/>
        <c:majorGridlines>
          <c:spPr>
            <a:ln w="19050"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9457740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r>
              <a:rPr lang="es-ES_tradnl">
                <a:ln>
                  <a:solidFill>
                    <a:srgbClr val="F754A1"/>
                  </a:solidFill>
                </a:ln>
                <a:solidFill>
                  <a:srgbClr val="CB10AA"/>
                </a:solidFill>
              </a:rPr>
              <a:t>Madurez gestión de sistemas</a:t>
            </a:r>
            <a:r>
              <a:rPr lang="es-ES_tradnl" baseline="0">
                <a:ln>
                  <a:solidFill>
                    <a:srgbClr val="F754A1"/>
                  </a:solidFill>
                </a:ln>
                <a:solidFill>
                  <a:srgbClr val="CB10AA"/>
                </a:solidFill>
              </a:rPr>
              <a:t> de </a:t>
            </a:r>
            <a:r>
              <a:rPr lang="es-ES_tradnl">
                <a:ln>
                  <a:solidFill>
                    <a:srgbClr val="F754A1"/>
                  </a:solidFill>
                </a:ln>
                <a:solidFill>
                  <a:srgbClr val="CB10AA"/>
                </a:solidFill>
              </a:rPr>
              <a:t>información</a:t>
            </a:r>
          </a:p>
        </c:rich>
      </c:tx>
      <c:overlay val="0"/>
      <c:spPr>
        <a:noFill/>
        <a:ln>
          <a:noFill/>
        </a:ln>
        <a:effectLst/>
      </c:spPr>
      <c:txPr>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endParaRPr lang="es-CO"/>
        </a:p>
      </c:txPr>
    </c:title>
    <c:autoTitleDeleted val="0"/>
    <c:plotArea>
      <c:layout/>
      <c:radarChart>
        <c:radarStyle val="marker"/>
        <c:varyColors val="0"/>
        <c:ser>
          <c:idx val="0"/>
          <c:order val="0"/>
          <c:tx>
            <c:strRef>
              <c:f>'2.MGGTI'!$I$17</c:f>
              <c:strCache>
                <c:ptCount val="1"/>
                <c:pt idx="0">
                  <c:v>Puntaje</c:v>
                </c:pt>
              </c:strCache>
            </c:strRef>
          </c:tx>
          <c:spPr>
            <a:ln w="25400" cap="rnd" cmpd="sng" algn="ctr">
              <a:solidFill>
                <a:srgbClr val="F754A1"/>
              </a:solidFill>
              <a:prstDash val="sysDot"/>
              <a:round/>
            </a:ln>
            <a:effectLst/>
          </c:spPr>
          <c:marker>
            <c:symbol val="none"/>
          </c:marker>
          <c:cat>
            <c:strRef>
              <c:f>'2.MGGTI'!$C$71:$C$74</c:f>
              <c:strCache>
                <c:ptCount val="4"/>
                <c:pt idx="0">
                  <c:v>Gestión del ciclo de vida de los SI</c:v>
                </c:pt>
                <c:pt idx="1">
                  <c:v>Planeación, analisis y diseño</c:v>
                </c:pt>
                <c:pt idx="2">
                  <c:v>Desarrollar y mantener</c:v>
                </c:pt>
                <c:pt idx="3">
                  <c:v>Calidad</c:v>
                </c:pt>
              </c:strCache>
            </c:strRef>
          </c:cat>
          <c:val>
            <c:numRef>
              <c:f>'2.MGGTI'!$I$71:$I$74</c:f>
              <c:numCache>
                <c:formatCode>0.00</c:formatCode>
                <c:ptCount val="4"/>
                <c:pt idx="0">
                  <c:v>5</c:v>
                </c:pt>
                <c:pt idx="1">
                  <c:v>5</c:v>
                </c:pt>
                <c:pt idx="2">
                  <c:v>5</c:v>
                </c:pt>
                <c:pt idx="3">
                  <c:v>5</c:v>
                </c:pt>
              </c:numCache>
            </c:numRef>
          </c:val>
          <c:extLst>
            <c:ext xmlns:c16="http://schemas.microsoft.com/office/drawing/2014/chart" uri="{C3380CC4-5D6E-409C-BE32-E72D297353CC}">
              <c16:uniqueId val="{00000000-6BE9-9B48-B1BA-B42A8841244F}"/>
            </c:ext>
          </c:extLst>
        </c:ser>
        <c:dLbls>
          <c:showLegendKey val="0"/>
          <c:showVal val="0"/>
          <c:showCatName val="0"/>
          <c:showSerName val="0"/>
          <c:showPercent val="0"/>
          <c:showBubbleSize val="0"/>
        </c:dLbls>
        <c:axId val="694577408"/>
        <c:axId val="694577080"/>
      </c:radarChart>
      <c:catAx>
        <c:axId val="69457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3166CA"/>
                </a:solidFill>
                <a:latin typeface="+mn-lt"/>
                <a:ea typeface="+mn-ea"/>
                <a:cs typeface="+mn-cs"/>
              </a:defRPr>
            </a:pPr>
            <a:endParaRPr lang="es-CO"/>
          </a:p>
        </c:txPr>
        <c:crossAx val="694577080"/>
        <c:crosses val="autoZero"/>
        <c:auto val="1"/>
        <c:lblAlgn val="ctr"/>
        <c:lblOffset val="100"/>
        <c:noMultiLvlLbl val="0"/>
      </c:catAx>
      <c:valAx>
        <c:axId val="694577080"/>
        <c:scaling>
          <c:orientation val="minMax"/>
          <c:max val="5"/>
          <c:min val="0"/>
        </c:scaling>
        <c:delete val="0"/>
        <c:axPos val="l"/>
        <c:majorGridlines>
          <c:spPr>
            <a:ln w="19050"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94577408"/>
        <c:crosses val="autoZero"/>
        <c:crossBetween val="between"/>
        <c:majorUnit val="1"/>
      </c:valAx>
      <c:spPr>
        <a:noFill/>
        <a:ln>
          <a:noFill/>
        </a:ln>
        <a:effectLst/>
      </c:spPr>
    </c:plotArea>
    <c:legend>
      <c:legendPos val="t"/>
      <c:layout>
        <c:manualLayout>
          <c:xMode val="edge"/>
          <c:yMode val="edge"/>
          <c:x val="0.67114748975677307"/>
          <c:y val="9.3346059015350355E-2"/>
          <c:w val="0.14694339919282218"/>
          <c:h val="4.26016066173546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r>
              <a:rPr lang="es-ES_tradnl">
                <a:ln>
                  <a:solidFill>
                    <a:srgbClr val="F754A1"/>
                  </a:solidFill>
                </a:ln>
                <a:solidFill>
                  <a:srgbClr val="CB10AA"/>
                </a:solidFill>
              </a:rPr>
              <a:t>Madurez gestión de servicios</a:t>
            </a:r>
            <a:r>
              <a:rPr lang="es-ES_tradnl" baseline="0">
                <a:ln>
                  <a:solidFill>
                    <a:srgbClr val="F754A1"/>
                  </a:solidFill>
                </a:ln>
                <a:solidFill>
                  <a:srgbClr val="CB10AA"/>
                </a:solidFill>
              </a:rPr>
              <a:t> de</a:t>
            </a:r>
            <a:r>
              <a:rPr lang="es-ES_tradnl">
                <a:ln>
                  <a:solidFill>
                    <a:srgbClr val="F754A1"/>
                  </a:solidFill>
                </a:ln>
                <a:solidFill>
                  <a:srgbClr val="CB10AA"/>
                </a:solidFill>
              </a:rPr>
              <a:t> tecnología</a:t>
            </a:r>
          </a:p>
        </c:rich>
      </c:tx>
      <c:overlay val="0"/>
      <c:spPr>
        <a:noFill/>
        <a:ln>
          <a:noFill/>
        </a:ln>
        <a:effectLst/>
      </c:spPr>
      <c:txPr>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endParaRPr lang="es-CO"/>
        </a:p>
      </c:txPr>
    </c:title>
    <c:autoTitleDeleted val="0"/>
    <c:plotArea>
      <c:layout/>
      <c:radarChart>
        <c:radarStyle val="marker"/>
        <c:varyColors val="0"/>
        <c:ser>
          <c:idx val="0"/>
          <c:order val="0"/>
          <c:tx>
            <c:strRef>
              <c:f>'2.MGGTI'!$I$17</c:f>
              <c:strCache>
                <c:ptCount val="1"/>
                <c:pt idx="0">
                  <c:v>Puntaje</c:v>
                </c:pt>
              </c:strCache>
            </c:strRef>
          </c:tx>
          <c:spPr>
            <a:ln w="25400" cap="rnd" cmpd="sng" algn="ctr">
              <a:solidFill>
                <a:srgbClr val="F754A1"/>
              </a:solidFill>
              <a:prstDash val="sysDot"/>
              <a:round/>
            </a:ln>
            <a:effectLst/>
          </c:spPr>
          <c:marker>
            <c:symbol val="none"/>
          </c:marker>
          <c:cat>
            <c:strRef>
              <c:f>'2.MGGTI'!$C$83:$C$86</c:f>
              <c:strCache>
                <c:ptCount val="4"/>
                <c:pt idx="0">
                  <c:v>Proceso de Gestión los Servicios de TI</c:v>
                </c:pt>
                <c:pt idx="1">
                  <c:v>Garantía del servicio</c:v>
                </c:pt>
                <c:pt idx="2">
                  <c:v>Entrega y soporte de servicios</c:v>
                </c:pt>
                <c:pt idx="3">
                  <c:v>Producción</c:v>
                </c:pt>
              </c:strCache>
            </c:strRef>
          </c:cat>
          <c:val>
            <c:numRef>
              <c:f>'2.MGGTI'!$I$83:$I$86</c:f>
              <c:numCache>
                <c:formatCode>0.00</c:formatCode>
                <c:ptCount val="4"/>
                <c:pt idx="0">
                  <c:v>5</c:v>
                </c:pt>
                <c:pt idx="1">
                  <c:v>5</c:v>
                </c:pt>
                <c:pt idx="2">
                  <c:v>5</c:v>
                </c:pt>
                <c:pt idx="3">
                  <c:v>5</c:v>
                </c:pt>
              </c:numCache>
            </c:numRef>
          </c:val>
          <c:extLst>
            <c:ext xmlns:c16="http://schemas.microsoft.com/office/drawing/2014/chart" uri="{C3380CC4-5D6E-409C-BE32-E72D297353CC}">
              <c16:uniqueId val="{00000000-74D8-584B-974C-98354428D98A}"/>
            </c:ext>
          </c:extLst>
        </c:ser>
        <c:dLbls>
          <c:showLegendKey val="0"/>
          <c:showVal val="0"/>
          <c:showCatName val="0"/>
          <c:showSerName val="0"/>
          <c:showPercent val="0"/>
          <c:showBubbleSize val="0"/>
        </c:dLbls>
        <c:axId val="694577408"/>
        <c:axId val="694577080"/>
      </c:radarChart>
      <c:catAx>
        <c:axId val="69457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3166CA"/>
                </a:solidFill>
                <a:latin typeface="+mn-lt"/>
                <a:ea typeface="+mn-ea"/>
                <a:cs typeface="+mn-cs"/>
              </a:defRPr>
            </a:pPr>
            <a:endParaRPr lang="es-CO"/>
          </a:p>
        </c:txPr>
        <c:crossAx val="694577080"/>
        <c:crosses val="autoZero"/>
        <c:auto val="1"/>
        <c:lblAlgn val="ctr"/>
        <c:lblOffset val="100"/>
        <c:noMultiLvlLbl val="0"/>
      </c:catAx>
      <c:valAx>
        <c:axId val="694577080"/>
        <c:scaling>
          <c:orientation val="minMax"/>
          <c:max val="5"/>
          <c:min val="0"/>
        </c:scaling>
        <c:delete val="0"/>
        <c:axPos val="l"/>
        <c:majorGridlines>
          <c:spPr>
            <a:ln w="19050"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94577408"/>
        <c:crosses val="autoZero"/>
        <c:crossBetween val="between"/>
        <c:majorUnit val="1"/>
      </c:valAx>
      <c:spPr>
        <a:noFill/>
        <a:ln>
          <a:noFill/>
        </a:ln>
        <a:effectLst/>
      </c:spPr>
    </c:plotArea>
    <c:legend>
      <c:legendPos val="t"/>
      <c:layout>
        <c:manualLayout>
          <c:xMode val="edge"/>
          <c:yMode val="edge"/>
          <c:x val="0.67114748975677307"/>
          <c:y val="9.3346059015350355E-2"/>
          <c:w val="0.14694339919282218"/>
          <c:h val="4.26016066173546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r>
              <a:rPr lang="es-ES_tradnl">
                <a:ln>
                  <a:solidFill>
                    <a:srgbClr val="F754A1"/>
                  </a:solidFill>
                </a:ln>
                <a:solidFill>
                  <a:srgbClr val="CB10AA"/>
                </a:solidFill>
              </a:rPr>
              <a:t>Madurez gestión de uso y apropiación ti</a:t>
            </a:r>
          </a:p>
        </c:rich>
      </c:tx>
      <c:overlay val="0"/>
      <c:spPr>
        <a:noFill/>
        <a:ln>
          <a:noFill/>
        </a:ln>
        <a:effectLst/>
      </c:spPr>
      <c:txPr>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endParaRPr lang="es-CO"/>
        </a:p>
      </c:txPr>
    </c:title>
    <c:autoTitleDeleted val="0"/>
    <c:plotArea>
      <c:layout/>
      <c:radarChart>
        <c:radarStyle val="marker"/>
        <c:varyColors val="0"/>
        <c:ser>
          <c:idx val="0"/>
          <c:order val="0"/>
          <c:tx>
            <c:strRef>
              <c:f>'2.MGGTI'!$I$17</c:f>
              <c:strCache>
                <c:ptCount val="1"/>
                <c:pt idx="0">
                  <c:v>Puntaje</c:v>
                </c:pt>
              </c:strCache>
            </c:strRef>
          </c:tx>
          <c:spPr>
            <a:ln w="25400" cap="rnd" cmpd="sng" algn="ctr">
              <a:solidFill>
                <a:srgbClr val="F754A1"/>
              </a:solidFill>
              <a:prstDash val="sysDot"/>
              <a:round/>
            </a:ln>
            <a:effectLst/>
          </c:spPr>
          <c:marker>
            <c:symbol val="none"/>
          </c:marker>
          <c:cat>
            <c:strRef>
              <c:f>'2.MGGTI'!$C$95:$C$97</c:f>
              <c:strCache>
                <c:ptCount val="3"/>
                <c:pt idx="0">
                  <c:v>Estrategia de Uso y Apropiación</c:v>
                </c:pt>
                <c:pt idx="1">
                  <c:v>Acciones de uso y apropiación</c:v>
                </c:pt>
                <c:pt idx="2">
                  <c:v>Seguimiento y evaluación</c:v>
                </c:pt>
              </c:strCache>
            </c:strRef>
          </c:cat>
          <c:val>
            <c:numRef>
              <c:f>'2.MGGTI'!$I$95:$I$97</c:f>
              <c:numCache>
                <c:formatCode>0.00</c:formatCode>
                <c:ptCount val="3"/>
                <c:pt idx="0">
                  <c:v>5</c:v>
                </c:pt>
                <c:pt idx="1">
                  <c:v>5</c:v>
                </c:pt>
                <c:pt idx="2">
                  <c:v>5</c:v>
                </c:pt>
              </c:numCache>
            </c:numRef>
          </c:val>
          <c:extLst>
            <c:ext xmlns:c16="http://schemas.microsoft.com/office/drawing/2014/chart" uri="{C3380CC4-5D6E-409C-BE32-E72D297353CC}">
              <c16:uniqueId val="{00000000-5989-004B-AC29-D373FF60B7D2}"/>
            </c:ext>
          </c:extLst>
        </c:ser>
        <c:dLbls>
          <c:showLegendKey val="0"/>
          <c:showVal val="0"/>
          <c:showCatName val="0"/>
          <c:showSerName val="0"/>
          <c:showPercent val="0"/>
          <c:showBubbleSize val="0"/>
        </c:dLbls>
        <c:axId val="694577408"/>
        <c:axId val="694577080"/>
      </c:radarChart>
      <c:catAx>
        <c:axId val="69457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3166CA"/>
                </a:solidFill>
                <a:latin typeface="+mn-lt"/>
                <a:ea typeface="+mn-ea"/>
                <a:cs typeface="+mn-cs"/>
              </a:defRPr>
            </a:pPr>
            <a:endParaRPr lang="es-CO"/>
          </a:p>
        </c:txPr>
        <c:crossAx val="694577080"/>
        <c:crosses val="autoZero"/>
        <c:auto val="1"/>
        <c:lblAlgn val="ctr"/>
        <c:lblOffset val="100"/>
        <c:noMultiLvlLbl val="0"/>
      </c:catAx>
      <c:valAx>
        <c:axId val="694577080"/>
        <c:scaling>
          <c:orientation val="minMax"/>
          <c:max val="5"/>
          <c:min val="0"/>
        </c:scaling>
        <c:delete val="0"/>
        <c:axPos val="l"/>
        <c:majorGridlines>
          <c:spPr>
            <a:ln w="19050"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94577408"/>
        <c:crosses val="autoZero"/>
        <c:crossBetween val="between"/>
        <c:majorUnit val="1"/>
      </c:valAx>
      <c:spPr>
        <a:noFill/>
        <a:ln>
          <a:noFill/>
        </a:ln>
        <a:effectLst/>
      </c:spPr>
    </c:plotArea>
    <c:legend>
      <c:legendPos val="t"/>
      <c:layout>
        <c:manualLayout>
          <c:xMode val="edge"/>
          <c:yMode val="edge"/>
          <c:x val="0.67114748975677307"/>
          <c:y val="9.3346059015350355E-2"/>
          <c:w val="0.14694339919282218"/>
          <c:h val="4.26016066173546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r>
              <a:rPr lang="es-ES_tradnl">
                <a:ln>
                  <a:solidFill>
                    <a:srgbClr val="F754A1"/>
                  </a:solidFill>
                </a:ln>
                <a:solidFill>
                  <a:srgbClr val="CB10AA"/>
                </a:solidFill>
              </a:rPr>
              <a:t>Madurez Gestión de proyectos</a:t>
            </a:r>
            <a:r>
              <a:rPr lang="es-ES_tradnl" baseline="0">
                <a:ln>
                  <a:solidFill>
                    <a:srgbClr val="F754A1"/>
                  </a:solidFill>
                </a:ln>
                <a:solidFill>
                  <a:srgbClr val="CB10AA"/>
                </a:solidFill>
              </a:rPr>
              <a:t> de ti</a:t>
            </a:r>
            <a:endParaRPr lang="es-ES_tradnl">
              <a:ln>
                <a:solidFill>
                  <a:srgbClr val="F754A1"/>
                </a:solidFill>
              </a:ln>
              <a:solidFill>
                <a:srgbClr val="CB10AA"/>
              </a:solidFill>
            </a:endParaRPr>
          </a:p>
        </c:rich>
      </c:tx>
      <c:overlay val="0"/>
      <c:spPr>
        <a:noFill/>
        <a:ln>
          <a:noFill/>
        </a:ln>
        <a:effectLst/>
      </c:spPr>
      <c:txPr>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endParaRPr lang="es-CO"/>
        </a:p>
      </c:txPr>
    </c:title>
    <c:autoTitleDeleted val="0"/>
    <c:plotArea>
      <c:layout/>
      <c:radarChart>
        <c:radarStyle val="marker"/>
        <c:varyColors val="0"/>
        <c:ser>
          <c:idx val="0"/>
          <c:order val="0"/>
          <c:tx>
            <c:strRef>
              <c:f>'3.MGPTI'!$I$18</c:f>
              <c:strCache>
                <c:ptCount val="1"/>
                <c:pt idx="0">
                  <c:v>Puntaje</c:v>
                </c:pt>
              </c:strCache>
            </c:strRef>
          </c:tx>
          <c:spPr>
            <a:ln w="25400" cap="rnd" cmpd="sng" algn="ctr">
              <a:solidFill>
                <a:srgbClr val="F754A1"/>
              </a:solidFill>
              <a:prstDash val="sysDot"/>
              <a:round/>
            </a:ln>
            <a:effectLst/>
          </c:spPr>
          <c:marker>
            <c:symbol val="none"/>
          </c:marker>
          <c:cat>
            <c:strRef>
              <c:f>'3.MGPTI'!$C$20:$C$23</c:f>
              <c:strCache>
                <c:ptCount val="4"/>
                <c:pt idx="0">
                  <c:v>Contexto estratégico</c:v>
                </c:pt>
                <c:pt idx="1">
                  <c:v>Planeación</c:v>
                </c:pt>
                <c:pt idx="2">
                  <c:v>Ejecución y control</c:v>
                </c:pt>
                <c:pt idx="3">
                  <c:v>Cierre y operación</c:v>
                </c:pt>
              </c:strCache>
            </c:strRef>
          </c:cat>
          <c:val>
            <c:numRef>
              <c:f>'3.MGPTI'!$I$20:$I$23</c:f>
              <c:numCache>
                <c:formatCode>0.00</c:formatCode>
                <c:ptCount val="4"/>
                <c:pt idx="0">
                  <c:v>5</c:v>
                </c:pt>
                <c:pt idx="1">
                  <c:v>5</c:v>
                </c:pt>
                <c:pt idx="2">
                  <c:v>5</c:v>
                </c:pt>
                <c:pt idx="3">
                  <c:v>5</c:v>
                </c:pt>
              </c:numCache>
            </c:numRef>
          </c:val>
          <c:extLst>
            <c:ext xmlns:c16="http://schemas.microsoft.com/office/drawing/2014/chart" uri="{C3380CC4-5D6E-409C-BE32-E72D297353CC}">
              <c16:uniqueId val="{00000001-75BD-2C49-BC3B-3BBF1DB3B7E1}"/>
            </c:ext>
          </c:extLst>
        </c:ser>
        <c:dLbls>
          <c:showLegendKey val="0"/>
          <c:showVal val="0"/>
          <c:showCatName val="0"/>
          <c:showSerName val="0"/>
          <c:showPercent val="0"/>
          <c:showBubbleSize val="0"/>
        </c:dLbls>
        <c:axId val="694577408"/>
        <c:axId val="694577080"/>
      </c:radarChart>
      <c:catAx>
        <c:axId val="69457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3166CA"/>
                </a:solidFill>
                <a:latin typeface="+mn-lt"/>
                <a:ea typeface="+mn-ea"/>
                <a:cs typeface="+mn-cs"/>
              </a:defRPr>
            </a:pPr>
            <a:endParaRPr lang="es-CO"/>
          </a:p>
        </c:txPr>
        <c:crossAx val="694577080"/>
        <c:crosses val="autoZero"/>
        <c:auto val="1"/>
        <c:lblAlgn val="ctr"/>
        <c:lblOffset val="100"/>
        <c:noMultiLvlLbl val="0"/>
      </c:catAx>
      <c:valAx>
        <c:axId val="694577080"/>
        <c:scaling>
          <c:orientation val="minMax"/>
          <c:max val="5"/>
          <c:min val="0"/>
        </c:scaling>
        <c:delete val="0"/>
        <c:axPos val="l"/>
        <c:majorGridlines>
          <c:spPr>
            <a:ln w="19050"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9457740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r>
              <a:rPr lang="es-ES_tradnl">
                <a:ln>
                  <a:solidFill>
                    <a:srgbClr val="F754A1"/>
                  </a:solidFill>
                </a:ln>
                <a:solidFill>
                  <a:srgbClr val="CB10AA"/>
                </a:solidFill>
              </a:rPr>
              <a:t>Madurez CONTEXTO</a:t>
            </a:r>
            <a:r>
              <a:rPr lang="es-ES_tradnl" baseline="0">
                <a:ln>
                  <a:solidFill>
                    <a:srgbClr val="F754A1"/>
                  </a:solidFill>
                </a:ln>
                <a:solidFill>
                  <a:srgbClr val="CB10AA"/>
                </a:solidFill>
              </a:rPr>
              <a:t> ESTRATÉGICO</a:t>
            </a:r>
            <a:endParaRPr lang="es-ES_tradnl">
              <a:ln>
                <a:solidFill>
                  <a:srgbClr val="F754A1"/>
                </a:solidFill>
              </a:ln>
              <a:solidFill>
                <a:srgbClr val="CB10AA"/>
              </a:solidFill>
            </a:endParaRPr>
          </a:p>
        </c:rich>
      </c:tx>
      <c:overlay val="0"/>
      <c:spPr>
        <a:noFill/>
        <a:ln>
          <a:noFill/>
        </a:ln>
        <a:effectLst/>
      </c:spPr>
      <c:txPr>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endParaRPr lang="es-CO"/>
        </a:p>
      </c:txPr>
    </c:title>
    <c:autoTitleDeleted val="0"/>
    <c:plotArea>
      <c:layout/>
      <c:radarChart>
        <c:radarStyle val="marker"/>
        <c:varyColors val="0"/>
        <c:ser>
          <c:idx val="0"/>
          <c:order val="0"/>
          <c:tx>
            <c:strRef>
              <c:f>'3.MGPTI'!$I$18</c:f>
              <c:strCache>
                <c:ptCount val="1"/>
                <c:pt idx="0">
                  <c:v>Puntaje</c:v>
                </c:pt>
              </c:strCache>
            </c:strRef>
          </c:tx>
          <c:spPr>
            <a:ln w="25400" cap="rnd" cmpd="sng" algn="ctr">
              <a:solidFill>
                <a:srgbClr val="F754A1"/>
              </a:solidFill>
              <a:prstDash val="sysDot"/>
              <a:round/>
            </a:ln>
            <a:effectLst/>
          </c:spPr>
          <c:marker>
            <c:symbol val="none"/>
          </c:marker>
          <c:cat>
            <c:strRef>
              <c:f>'3.MGPTI'!$C$32:$C$34</c:f>
              <c:strCache>
                <c:ptCount val="3"/>
                <c:pt idx="0">
                  <c:v>Motivadores</c:v>
                </c:pt>
                <c:pt idx="1">
                  <c:v>Capacidad y gobierno</c:v>
                </c:pt>
                <c:pt idx="2">
                  <c:v>Enfoque del ciclo de vida del proyecto</c:v>
                </c:pt>
              </c:strCache>
            </c:strRef>
          </c:cat>
          <c:val>
            <c:numRef>
              <c:f>'3.MGPTI'!$I$32:$I$34</c:f>
              <c:numCache>
                <c:formatCode>0.00</c:formatCode>
                <c:ptCount val="3"/>
                <c:pt idx="0">
                  <c:v>5</c:v>
                </c:pt>
                <c:pt idx="1">
                  <c:v>5</c:v>
                </c:pt>
                <c:pt idx="2">
                  <c:v>5</c:v>
                </c:pt>
              </c:numCache>
            </c:numRef>
          </c:val>
          <c:extLst>
            <c:ext xmlns:c16="http://schemas.microsoft.com/office/drawing/2014/chart" uri="{C3380CC4-5D6E-409C-BE32-E72D297353CC}">
              <c16:uniqueId val="{00000000-EFB1-1741-B432-F69EACD9FA0E}"/>
            </c:ext>
          </c:extLst>
        </c:ser>
        <c:dLbls>
          <c:showLegendKey val="0"/>
          <c:showVal val="0"/>
          <c:showCatName val="0"/>
          <c:showSerName val="0"/>
          <c:showPercent val="0"/>
          <c:showBubbleSize val="0"/>
        </c:dLbls>
        <c:axId val="694577408"/>
        <c:axId val="694577080"/>
      </c:radarChart>
      <c:catAx>
        <c:axId val="69457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3166CA"/>
                </a:solidFill>
                <a:latin typeface="+mn-lt"/>
                <a:ea typeface="+mn-ea"/>
                <a:cs typeface="+mn-cs"/>
              </a:defRPr>
            </a:pPr>
            <a:endParaRPr lang="es-CO"/>
          </a:p>
        </c:txPr>
        <c:crossAx val="694577080"/>
        <c:crosses val="autoZero"/>
        <c:auto val="1"/>
        <c:lblAlgn val="ctr"/>
        <c:lblOffset val="100"/>
        <c:noMultiLvlLbl val="0"/>
      </c:catAx>
      <c:valAx>
        <c:axId val="694577080"/>
        <c:scaling>
          <c:orientation val="minMax"/>
          <c:max val="5"/>
          <c:min val="0"/>
        </c:scaling>
        <c:delete val="0"/>
        <c:axPos val="l"/>
        <c:majorGridlines>
          <c:spPr>
            <a:ln w="19050"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9457740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r>
              <a:rPr lang="es-ES_tradnl">
                <a:ln>
                  <a:solidFill>
                    <a:srgbClr val="F754A1"/>
                  </a:solidFill>
                </a:ln>
                <a:solidFill>
                  <a:srgbClr val="CB10AA"/>
                </a:solidFill>
              </a:rPr>
              <a:t>Madurez PLANEACIÓN </a:t>
            </a:r>
          </a:p>
        </c:rich>
      </c:tx>
      <c:overlay val="0"/>
      <c:spPr>
        <a:noFill/>
        <a:ln>
          <a:noFill/>
        </a:ln>
        <a:effectLst/>
      </c:spPr>
      <c:txPr>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endParaRPr lang="es-CO"/>
        </a:p>
      </c:txPr>
    </c:title>
    <c:autoTitleDeleted val="0"/>
    <c:plotArea>
      <c:layout/>
      <c:radarChart>
        <c:radarStyle val="marker"/>
        <c:varyColors val="0"/>
        <c:ser>
          <c:idx val="0"/>
          <c:order val="0"/>
          <c:tx>
            <c:strRef>
              <c:f>'3.MGPTI'!$I$18</c:f>
              <c:strCache>
                <c:ptCount val="1"/>
                <c:pt idx="0">
                  <c:v>Puntaje</c:v>
                </c:pt>
              </c:strCache>
            </c:strRef>
          </c:tx>
          <c:spPr>
            <a:ln w="25400" cap="rnd" cmpd="sng" algn="ctr">
              <a:solidFill>
                <a:srgbClr val="F754A1"/>
              </a:solidFill>
              <a:prstDash val="sysDot"/>
              <a:round/>
            </a:ln>
            <a:effectLst/>
          </c:spPr>
          <c:marker>
            <c:symbol val="none"/>
          </c:marker>
          <c:cat>
            <c:strRef>
              <c:f>'3.MGPTI'!$C$43:$C$47</c:f>
              <c:strCache>
                <c:ptCount val="5"/>
                <c:pt idx="0">
                  <c:v>Interesados</c:v>
                </c:pt>
                <c:pt idx="1">
                  <c:v>Alcance y desarrollo del ciclo de vida del proyecto</c:v>
                </c:pt>
                <c:pt idx="2">
                  <c:v>Recursos</c:v>
                </c:pt>
                <c:pt idx="3">
                  <c:v>Calidad</c:v>
                </c:pt>
                <c:pt idx="4">
                  <c:v>Riesgos</c:v>
                </c:pt>
              </c:strCache>
            </c:strRef>
          </c:cat>
          <c:val>
            <c:numRef>
              <c:f>'3.MGPTI'!$I$43:$I$47</c:f>
              <c:numCache>
                <c:formatCode>0.00</c:formatCode>
                <c:ptCount val="5"/>
                <c:pt idx="0">
                  <c:v>5</c:v>
                </c:pt>
                <c:pt idx="1">
                  <c:v>5</c:v>
                </c:pt>
                <c:pt idx="2">
                  <c:v>5</c:v>
                </c:pt>
                <c:pt idx="3">
                  <c:v>5</c:v>
                </c:pt>
                <c:pt idx="4">
                  <c:v>5</c:v>
                </c:pt>
              </c:numCache>
            </c:numRef>
          </c:val>
          <c:extLst>
            <c:ext xmlns:c16="http://schemas.microsoft.com/office/drawing/2014/chart" uri="{C3380CC4-5D6E-409C-BE32-E72D297353CC}">
              <c16:uniqueId val="{00000000-4D7A-D849-B8D8-752875ABB547}"/>
            </c:ext>
          </c:extLst>
        </c:ser>
        <c:dLbls>
          <c:showLegendKey val="0"/>
          <c:showVal val="0"/>
          <c:showCatName val="0"/>
          <c:showSerName val="0"/>
          <c:showPercent val="0"/>
          <c:showBubbleSize val="0"/>
        </c:dLbls>
        <c:axId val="694577408"/>
        <c:axId val="694577080"/>
      </c:radarChart>
      <c:catAx>
        <c:axId val="69457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3166CA"/>
                </a:solidFill>
                <a:latin typeface="+mn-lt"/>
                <a:ea typeface="+mn-ea"/>
                <a:cs typeface="+mn-cs"/>
              </a:defRPr>
            </a:pPr>
            <a:endParaRPr lang="es-CO"/>
          </a:p>
        </c:txPr>
        <c:crossAx val="694577080"/>
        <c:crosses val="autoZero"/>
        <c:auto val="1"/>
        <c:lblAlgn val="ctr"/>
        <c:lblOffset val="100"/>
        <c:noMultiLvlLbl val="0"/>
      </c:catAx>
      <c:valAx>
        <c:axId val="694577080"/>
        <c:scaling>
          <c:orientation val="minMax"/>
          <c:max val="5"/>
          <c:min val="0"/>
        </c:scaling>
        <c:delete val="0"/>
        <c:axPos val="l"/>
        <c:majorGridlines>
          <c:spPr>
            <a:ln w="19050"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9457740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r>
              <a:rPr lang="es-ES_tradnl">
                <a:ln>
                  <a:solidFill>
                    <a:srgbClr val="F754A1"/>
                  </a:solidFill>
                </a:ln>
                <a:solidFill>
                  <a:srgbClr val="CB10AA"/>
                </a:solidFill>
              </a:rPr>
              <a:t>Madurez ejecución</a:t>
            </a:r>
            <a:r>
              <a:rPr lang="es-ES_tradnl" baseline="0">
                <a:ln>
                  <a:solidFill>
                    <a:srgbClr val="F754A1"/>
                  </a:solidFill>
                </a:ln>
                <a:solidFill>
                  <a:srgbClr val="CB10AA"/>
                </a:solidFill>
              </a:rPr>
              <a:t> Y CONTROL</a:t>
            </a:r>
            <a:endParaRPr lang="es-ES_tradnl">
              <a:ln>
                <a:solidFill>
                  <a:srgbClr val="F754A1"/>
                </a:solidFill>
              </a:ln>
              <a:solidFill>
                <a:srgbClr val="CB10AA"/>
              </a:solidFill>
            </a:endParaRPr>
          </a:p>
        </c:rich>
      </c:tx>
      <c:overlay val="0"/>
      <c:spPr>
        <a:noFill/>
        <a:ln>
          <a:noFill/>
        </a:ln>
        <a:effectLst/>
      </c:spPr>
      <c:txPr>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endParaRPr lang="es-CO"/>
        </a:p>
      </c:txPr>
    </c:title>
    <c:autoTitleDeleted val="0"/>
    <c:plotArea>
      <c:layout/>
      <c:radarChart>
        <c:radarStyle val="marker"/>
        <c:varyColors val="0"/>
        <c:ser>
          <c:idx val="0"/>
          <c:order val="0"/>
          <c:tx>
            <c:strRef>
              <c:f>'3.MGPTI'!$I$18</c:f>
              <c:strCache>
                <c:ptCount val="1"/>
                <c:pt idx="0">
                  <c:v>Puntaje</c:v>
                </c:pt>
              </c:strCache>
            </c:strRef>
          </c:tx>
          <c:spPr>
            <a:ln w="25400" cap="rnd" cmpd="sng" algn="ctr">
              <a:solidFill>
                <a:srgbClr val="F754A1"/>
              </a:solidFill>
              <a:prstDash val="sysDot"/>
              <a:round/>
            </a:ln>
            <a:effectLst/>
          </c:spPr>
          <c:marker>
            <c:symbol val="none"/>
          </c:marker>
          <c:cat>
            <c:strRef>
              <c:f>'3.MGPTI'!$C$56:$C$60</c:f>
              <c:strCache>
                <c:ptCount val="5"/>
                <c:pt idx="0">
                  <c:v>Interesados</c:v>
                </c:pt>
                <c:pt idx="1">
                  <c:v>Entrega y desarrollo del ciclo de vida del proyecto</c:v>
                </c:pt>
                <c:pt idx="2">
                  <c:v>Recursos</c:v>
                </c:pt>
                <c:pt idx="3">
                  <c:v>Calidad</c:v>
                </c:pt>
                <c:pt idx="4">
                  <c:v>Riesgos</c:v>
                </c:pt>
              </c:strCache>
            </c:strRef>
          </c:cat>
          <c:val>
            <c:numRef>
              <c:f>'3.MGPTI'!$I$56:$I$60</c:f>
              <c:numCache>
                <c:formatCode>0.00</c:formatCode>
                <c:ptCount val="5"/>
                <c:pt idx="0">
                  <c:v>5</c:v>
                </c:pt>
                <c:pt idx="1">
                  <c:v>5</c:v>
                </c:pt>
                <c:pt idx="2">
                  <c:v>5</c:v>
                </c:pt>
                <c:pt idx="3">
                  <c:v>5</c:v>
                </c:pt>
                <c:pt idx="4">
                  <c:v>5</c:v>
                </c:pt>
              </c:numCache>
            </c:numRef>
          </c:val>
          <c:extLst>
            <c:ext xmlns:c16="http://schemas.microsoft.com/office/drawing/2014/chart" uri="{C3380CC4-5D6E-409C-BE32-E72D297353CC}">
              <c16:uniqueId val="{00000000-73D1-7F45-9334-8FBBA248A27A}"/>
            </c:ext>
          </c:extLst>
        </c:ser>
        <c:dLbls>
          <c:showLegendKey val="0"/>
          <c:showVal val="0"/>
          <c:showCatName val="0"/>
          <c:showSerName val="0"/>
          <c:showPercent val="0"/>
          <c:showBubbleSize val="0"/>
        </c:dLbls>
        <c:axId val="694577408"/>
        <c:axId val="694577080"/>
      </c:radarChart>
      <c:catAx>
        <c:axId val="69457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3166CA"/>
                </a:solidFill>
                <a:latin typeface="+mn-lt"/>
                <a:ea typeface="+mn-ea"/>
                <a:cs typeface="+mn-cs"/>
              </a:defRPr>
            </a:pPr>
            <a:endParaRPr lang="es-CO"/>
          </a:p>
        </c:txPr>
        <c:crossAx val="694577080"/>
        <c:crosses val="autoZero"/>
        <c:auto val="1"/>
        <c:lblAlgn val="ctr"/>
        <c:lblOffset val="100"/>
        <c:noMultiLvlLbl val="0"/>
      </c:catAx>
      <c:valAx>
        <c:axId val="694577080"/>
        <c:scaling>
          <c:orientation val="minMax"/>
          <c:max val="5"/>
          <c:min val="0"/>
        </c:scaling>
        <c:delete val="0"/>
        <c:axPos val="l"/>
        <c:majorGridlines>
          <c:spPr>
            <a:ln w="19050"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9457740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r>
              <a:rPr lang="es-ES_tradnl">
                <a:ln>
                  <a:solidFill>
                    <a:srgbClr val="F754A1"/>
                  </a:solidFill>
                </a:ln>
                <a:solidFill>
                  <a:srgbClr val="CB10AA"/>
                </a:solidFill>
              </a:rPr>
              <a:t>Madurez CIERRE</a:t>
            </a:r>
            <a:r>
              <a:rPr lang="es-ES_tradnl" baseline="0">
                <a:ln>
                  <a:solidFill>
                    <a:srgbClr val="F754A1"/>
                  </a:solidFill>
                </a:ln>
                <a:solidFill>
                  <a:srgbClr val="CB10AA"/>
                </a:solidFill>
              </a:rPr>
              <a:t> Y OPERACIÓN</a:t>
            </a:r>
            <a:endParaRPr lang="es-ES_tradnl">
              <a:ln>
                <a:solidFill>
                  <a:srgbClr val="F754A1"/>
                </a:solidFill>
              </a:ln>
              <a:solidFill>
                <a:srgbClr val="CB10AA"/>
              </a:solidFill>
            </a:endParaRPr>
          </a:p>
        </c:rich>
      </c:tx>
      <c:overlay val="0"/>
      <c:spPr>
        <a:noFill/>
        <a:ln>
          <a:noFill/>
        </a:ln>
        <a:effectLst/>
      </c:spPr>
      <c:txPr>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endParaRPr lang="es-CO"/>
        </a:p>
      </c:txPr>
    </c:title>
    <c:autoTitleDeleted val="0"/>
    <c:plotArea>
      <c:layout/>
      <c:radarChart>
        <c:radarStyle val="marker"/>
        <c:varyColors val="0"/>
        <c:ser>
          <c:idx val="0"/>
          <c:order val="0"/>
          <c:tx>
            <c:strRef>
              <c:f>'3.MGPTI'!$I$18</c:f>
              <c:strCache>
                <c:ptCount val="1"/>
                <c:pt idx="0">
                  <c:v>Puntaje</c:v>
                </c:pt>
              </c:strCache>
            </c:strRef>
          </c:tx>
          <c:spPr>
            <a:ln w="25400" cap="rnd" cmpd="sng" algn="ctr">
              <a:solidFill>
                <a:srgbClr val="F754A1"/>
              </a:solidFill>
              <a:prstDash val="sysDot"/>
              <a:round/>
            </a:ln>
            <a:effectLst/>
          </c:spPr>
          <c:marker>
            <c:symbol val="none"/>
          </c:marker>
          <c:cat>
            <c:strRef>
              <c:f>'3.MGPTI'!$C$69:$C$71</c:f>
              <c:strCache>
                <c:ptCount val="3"/>
                <c:pt idx="0">
                  <c:v>Cierre del ciclo de vida del proyecto</c:v>
                </c:pt>
                <c:pt idx="1">
                  <c:v>Recursos</c:v>
                </c:pt>
                <c:pt idx="2">
                  <c:v>Resultados</c:v>
                </c:pt>
              </c:strCache>
            </c:strRef>
          </c:cat>
          <c:val>
            <c:numRef>
              <c:f>'3.MGPTI'!$I$69:$I$71</c:f>
              <c:numCache>
                <c:formatCode>0.00</c:formatCode>
                <c:ptCount val="3"/>
                <c:pt idx="0">
                  <c:v>5</c:v>
                </c:pt>
                <c:pt idx="1">
                  <c:v>5</c:v>
                </c:pt>
                <c:pt idx="2">
                  <c:v>5</c:v>
                </c:pt>
              </c:numCache>
            </c:numRef>
          </c:val>
          <c:extLst>
            <c:ext xmlns:c16="http://schemas.microsoft.com/office/drawing/2014/chart" uri="{C3380CC4-5D6E-409C-BE32-E72D297353CC}">
              <c16:uniqueId val="{00000000-BE36-DD49-95FD-CBFC213289EB}"/>
            </c:ext>
          </c:extLst>
        </c:ser>
        <c:dLbls>
          <c:showLegendKey val="0"/>
          <c:showVal val="0"/>
          <c:showCatName val="0"/>
          <c:showSerName val="0"/>
          <c:showPercent val="0"/>
          <c:showBubbleSize val="0"/>
        </c:dLbls>
        <c:axId val="694577408"/>
        <c:axId val="694577080"/>
      </c:radarChart>
      <c:catAx>
        <c:axId val="69457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3166CA"/>
                </a:solidFill>
                <a:latin typeface="+mn-lt"/>
                <a:ea typeface="+mn-ea"/>
                <a:cs typeface="+mn-cs"/>
              </a:defRPr>
            </a:pPr>
            <a:endParaRPr lang="es-CO"/>
          </a:p>
        </c:txPr>
        <c:crossAx val="694577080"/>
        <c:crosses val="autoZero"/>
        <c:auto val="1"/>
        <c:lblAlgn val="ctr"/>
        <c:lblOffset val="100"/>
        <c:noMultiLvlLbl val="0"/>
      </c:catAx>
      <c:valAx>
        <c:axId val="694577080"/>
        <c:scaling>
          <c:orientation val="minMax"/>
          <c:max val="5"/>
          <c:min val="0"/>
        </c:scaling>
        <c:delete val="0"/>
        <c:axPos val="l"/>
        <c:majorGridlines>
          <c:spPr>
            <a:ln w="19050"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94577408"/>
        <c:crosses val="autoZero"/>
        <c:crossBetween val="between"/>
        <c:majorUnit val="1"/>
      </c:valAx>
      <c:spPr>
        <a:noFill/>
        <a:ln>
          <a:noFill/>
        </a:ln>
        <a:effectLst/>
      </c:spPr>
    </c:plotArea>
    <c:legend>
      <c:legendPos val="t"/>
      <c:layout>
        <c:manualLayout>
          <c:xMode val="edge"/>
          <c:yMode val="edge"/>
          <c:x val="0.67114748975677307"/>
          <c:y val="9.3346059015350355E-2"/>
          <c:w val="0.14694339919282218"/>
          <c:h val="4.26016066173546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r>
              <a:rPr lang="es-ES_tradnl">
                <a:ln>
                  <a:solidFill>
                    <a:srgbClr val="F754A1"/>
                  </a:solidFill>
                </a:ln>
                <a:solidFill>
                  <a:srgbClr val="CB10AA"/>
                </a:solidFill>
              </a:rPr>
              <a:t>Madurez ae</a:t>
            </a:r>
          </a:p>
        </c:rich>
      </c:tx>
      <c:overlay val="0"/>
      <c:spPr>
        <a:noFill/>
        <a:ln>
          <a:noFill/>
        </a:ln>
        <a:effectLst/>
      </c:spPr>
      <c:txPr>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endParaRPr lang="es-CO"/>
        </a:p>
      </c:txPr>
    </c:title>
    <c:autoTitleDeleted val="0"/>
    <c:plotArea>
      <c:layout/>
      <c:radarChart>
        <c:radarStyle val="marker"/>
        <c:varyColors val="0"/>
        <c:ser>
          <c:idx val="0"/>
          <c:order val="0"/>
          <c:tx>
            <c:strRef>
              <c:f>'1.MAE'!$H$15</c:f>
              <c:strCache>
                <c:ptCount val="1"/>
              </c:strCache>
            </c:strRef>
          </c:tx>
          <c:spPr>
            <a:ln w="25400" cap="rnd" cmpd="sng" algn="ctr">
              <a:solidFill>
                <a:srgbClr val="F754A1"/>
              </a:solidFill>
              <a:prstDash val="sysDot"/>
              <a:round/>
            </a:ln>
            <a:effectLst/>
          </c:spPr>
          <c:marker>
            <c:symbol val="none"/>
          </c:marker>
          <c:cat>
            <c:strRef>
              <c:f>'1.MAE'!$B$18:$B$21</c:f>
              <c:strCache>
                <c:ptCount val="4"/>
                <c:pt idx="0">
                  <c:v>Gestión de la AE</c:v>
                </c:pt>
                <c:pt idx="1">
                  <c:v>Definición e implementación de la AE</c:v>
                </c:pt>
                <c:pt idx="2">
                  <c:v>Capacidad de AE</c:v>
                </c:pt>
                <c:pt idx="3">
                  <c:v>Habilitadores organizacionales</c:v>
                </c:pt>
              </c:strCache>
            </c:strRef>
          </c:cat>
          <c:val>
            <c:numRef>
              <c:f>'1.MAE'!$H$18:$H$21</c:f>
              <c:numCache>
                <c:formatCode>0.00</c:formatCode>
                <c:ptCount val="4"/>
                <c:pt idx="0">
                  <c:v>5</c:v>
                </c:pt>
                <c:pt idx="1">
                  <c:v>5</c:v>
                </c:pt>
                <c:pt idx="2">
                  <c:v>5</c:v>
                </c:pt>
                <c:pt idx="3">
                  <c:v>5</c:v>
                </c:pt>
              </c:numCache>
            </c:numRef>
          </c:val>
          <c:extLst>
            <c:ext xmlns:c16="http://schemas.microsoft.com/office/drawing/2014/chart" uri="{C3380CC4-5D6E-409C-BE32-E72D297353CC}">
              <c16:uniqueId val="{00000000-7D0A-A640-8CCF-280A11210FCB}"/>
            </c:ext>
          </c:extLst>
        </c:ser>
        <c:dLbls>
          <c:showLegendKey val="0"/>
          <c:showVal val="0"/>
          <c:showCatName val="0"/>
          <c:showSerName val="0"/>
          <c:showPercent val="0"/>
          <c:showBubbleSize val="0"/>
        </c:dLbls>
        <c:axId val="694577408"/>
        <c:axId val="694577080"/>
      </c:radarChart>
      <c:catAx>
        <c:axId val="69457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3166CA"/>
                </a:solidFill>
                <a:latin typeface="+mn-lt"/>
                <a:ea typeface="+mn-ea"/>
                <a:cs typeface="+mn-cs"/>
              </a:defRPr>
            </a:pPr>
            <a:endParaRPr lang="es-CO"/>
          </a:p>
        </c:txPr>
        <c:crossAx val="694577080"/>
        <c:crosses val="autoZero"/>
        <c:auto val="1"/>
        <c:lblAlgn val="ctr"/>
        <c:lblOffset val="100"/>
        <c:noMultiLvlLbl val="0"/>
      </c:catAx>
      <c:valAx>
        <c:axId val="694577080"/>
        <c:scaling>
          <c:orientation val="minMax"/>
          <c:max val="5"/>
          <c:min val="0"/>
        </c:scaling>
        <c:delete val="0"/>
        <c:axPos val="l"/>
        <c:majorGridlines>
          <c:spPr>
            <a:ln w="19050"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9457740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r>
              <a:rPr lang="es-ES_tradnl">
                <a:ln>
                  <a:solidFill>
                    <a:srgbClr val="F754A1"/>
                  </a:solidFill>
                </a:ln>
                <a:solidFill>
                  <a:srgbClr val="CB10AA"/>
                </a:solidFill>
              </a:rPr>
              <a:t>definición de la ae</a:t>
            </a:r>
          </a:p>
        </c:rich>
      </c:tx>
      <c:overlay val="0"/>
      <c:spPr>
        <a:noFill/>
        <a:ln>
          <a:noFill/>
        </a:ln>
        <a:effectLst/>
      </c:spPr>
      <c:txPr>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endParaRPr lang="es-CO"/>
        </a:p>
      </c:txPr>
    </c:title>
    <c:autoTitleDeleted val="0"/>
    <c:plotArea>
      <c:layout/>
      <c:radarChart>
        <c:radarStyle val="marker"/>
        <c:varyColors val="0"/>
        <c:ser>
          <c:idx val="0"/>
          <c:order val="0"/>
          <c:tx>
            <c:strRef>
              <c:f>'1.MAE'!$H$15</c:f>
              <c:strCache>
                <c:ptCount val="1"/>
              </c:strCache>
            </c:strRef>
          </c:tx>
          <c:spPr>
            <a:ln w="25400" cap="rnd" cmpd="sng" algn="ctr">
              <a:solidFill>
                <a:srgbClr val="F754A1"/>
              </a:solidFill>
              <a:prstDash val="sysDot"/>
              <a:round/>
            </a:ln>
            <a:effectLst/>
          </c:spPr>
          <c:marker>
            <c:symbol val="none"/>
          </c:marker>
          <c:cat>
            <c:strRef>
              <c:f>'1.MAE'!$B$29:$B$32</c:f>
              <c:strCache>
                <c:ptCount val="4"/>
                <c:pt idx="0">
                  <c:v>Demuestra compromiso</c:v>
                </c:pt>
                <c:pt idx="1">
                  <c:v>Proporciona capacidad para cumplir compromiso</c:v>
                </c:pt>
                <c:pt idx="2">
                  <c:v>Demuestra cumplimiento del compromiso</c:v>
                </c:pt>
                <c:pt idx="3">
                  <c:v>Verifica cumplimiento del compromiso</c:v>
                </c:pt>
              </c:strCache>
            </c:strRef>
          </c:cat>
          <c:val>
            <c:numRef>
              <c:f>'1.MAE'!$H$29:$H$32</c:f>
              <c:numCache>
                <c:formatCode>0.00</c:formatCode>
                <c:ptCount val="4"/>
                <c:pt idx="0">
                  <c:v>5</c:v>
                </c:pt>
                <c:pt idx="1">
                  <c:v>5</c:v>
                </c:pt>
                <c:pt idx="2">
                  <c:v>5</c:v>
                </c:pt>
                <c:pt idx="3">
                  <c:v>5</c:v>
                </c:pt>
              </c:numCache>
            </c:numRef>
          </c:val>
          <c:extLst>
            <c:ext xmlns:c16="http://schemas.microsoft.com/office/drawing/2014/chart" uri="{C3380CC4-5D6E-409C-BE32-E72D297353CC}">
              <c16:uniqueId val="{00000000-4041-0346-A3FB-D8281F83355C}"/>
            </c:ext>
          </c:extLst>
        </c:ser>
        <c:dLbls>
          <c:showLegendKey val="0"/>
          <c:showVal val="0"/>
          <c:showCatName val="0"/>
          <c:showSerName val="0"/>
          <c:showPercent val="0"/>
          <c:showBubbleSize val="0"/>
        </c:dLbls>
        <c:axId val="694577408"/>
        <c:axId val="694577080"/>
      </c:radarChart>
      <c:catAx>
        <c:axId val="69457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3166CA"/>
                </a:solidFill>
                <a:latin typeface="+mn-lt"/>
                <a:ea typeface="+mn-ea"/>
                <a:cs typeface="+mn-cs"/>
              </a:defRPr>
            </a:pPr>
            <a:endParaRPr lang="es-CO"/>
          </a:p>
        </c:txPr>
        <c:crossAx val="694577080"/>
        <c:crosses val="autoZero"/>
        <c:auto val="1"/>
        <c:lblAlgn val="ctr"/>
        <c:lblOffset val="100"/>
        <c:noMultiLvlLbl val="0"/>
      </c:catAx>
      <c:valAx>
        <c:axId val="694577080"/>
        <c:scaling>
          <c:orientation val="minMax"/>
          <c:max val="5"/>
          <c:min val="0"/>
        </c:scaling>
        <c:delete val="0"/>
        <c:axPos val="l"/>
        <c:majorGridlines>
          <c:spPr>
            <a:ln w="19050"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9457740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r>
              <a:rPr lang="es-ES_tradnl">
                <a:ln>
                  <a:solidFill>
                    <a:srgbClr val="F754A1"/>
                  </a:solidFill>
                </a:ln>
                <a:solidFill>
                  <a:srgbClr val="CB10AA"/>
                </a:solidFill>
              </a:rPr>
              <a:t>gestión de la</a:t>
            </a:r>
            <a:r>
              <a:rPr lang="es-ES_tradnl" baseline="0">
                <a:ln>
                  <a:solidFill>
                    <a:srgbClr val="F754A1"/>
                  </a:solidFill>
                </a:ln>
                <a:solidFill>
                  <a:srgbClr val="CB10AA"/>
                </a:solidFill>
              </a:rPr>
              <a:t> ae</a:t>
            </a:r>
            <a:endParaRPr lang="es-ES_tradnl">
              <a:ln>
                <a:solidFill>
                  <a:srgbClr val="F754A1"/>
                </a:solidFill>
              </a:ln>
              <a:solidFill>
                <a:srgbClr val="CB10AA"/>
              </a:solidFill>
            </a:endParaRPr>
          </a:p>
        </c:rich>
      </c:tx>
      <c:overlay val="0"/>
      <c:spPr>
        <a:noFill/>
        <a:ln>
          <a:noFill/>
        </a:ln>
        <a:effectLst/>
      </c:spPr>
      <c:txPr>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endParaRPr lang="es-CO"/>
        </a:p>
      </c:txPr>
    </c:title>
    <c:autoTitleDeleted val="0"/>
    <c:plotArea>
      <c:layout/>
      <c:radarChart>
        <c:radarStyle val="marker"/>
        <c:varyColors val="0"/>
        <c:ser>
          <c:idx val="0"/>
          <c:order val="0"/>
          <c:tx>
            <c:strRef>
              <c:f>'1.MAE'!$H$15</c:f>
              <c:strCache>
                <c:ptCount val="1"/>
              </c:strCache>
            </c:strRef>
          </c:tx>
          <c:spPr>
            <a:ln w="25400" cap="rnd" cmpd="sng" algn="ctr">
              <a:solidFill>
                <a:srgbClr val="F754A1"/>
              </a:solidFill>
              <a:prstDash val="sysDot"/>
              <a:round/>
            </a:ln>
            <a:effectLst/>
          </c:spPr>
          <c:marker>
            <c:symbol val="none"/>
          </c:marker>
          <c:cat>
            <c:strRef>
              <c:f>'1.MAE'!$B$41:$B$44</c:f>
              <c:strCache>
                <c:ptCount val="4"/>
                <c:pt idx="0">
                  <c:v>Gobierno</c:v>
                </c:pt>
                <c:pt idx="1">
                  <c:v>Contenido</c:v>
                </c:pt>
                <c:pt idx="2">
                  <c:v>Uso </c:v>
                </c:pt>
                <c:pt idx="3">
                  <c:v>Medición </c:v>
                </c:pt>
              </c:strCache>
            </c:strRef>
          </c:cat>
          <c:val>
            <c:numRef>
              <c:f>'1.MAE'!$H$41:$H$44</c:f>
              <c:numCache>
                <c:formatCode>0.00</c:formatCode>
                <c:ptCount val="4"/>
                <c:pt idx="0">
                  <c:v>5</c:v>
                </c:pt>
                <c:pt idx="1">
                  <c:v>5</c:v>
                </c:pt>
                <c:pt idx="2">
                  <c:v>5</c:v>
                </c:pt>
                <c:pt idx="3">
                  <c:v>5</c:v>
                </c:pt>
              </c:numCache>
            </c:numRef>
          </c:val>
          <c:extLst>
            <c:ext xmlns:c16="http://schemas.microsoft.com/office/drawing/2014/chart" uri="{C3380CC4-5D6E-409C-BE32-E72D297353CC}">
              <c16:uniqueId val="{00000000-FA7F-D046-9066-1119B10CCCE2}"/>
            </c:ext>
          </c:extLst>
        </c:ser>
        <c:dLbls>
          <c:showLegendKey val="0"/>
          <c:showVal val="0"/>
          <c:showCatName val="0"/>
          <c:showSerName val="0"/>
          <c:showPercent val="0"/>
          <c:showBubbleSize val="0"/>
        </c:dLbls>
        <c:axId val="694577408"/>
        <c:axId val="694577080"/>
      </c:radarChart>
      <c:catAx>
        <c:axId val="69457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3166CA"/>
                </a:solidFill>
                <a:latin typeface="+mn-lt"/>
                <a:ea typeface="+mn-ea"/>
                <a:cs typeface="+mn-cs"/>
              </a:defRPr>
            </a:pPr>
            <a:endParaRPr lang="es-CO"/>
          </a:p>
        </c:txPr>
        <c:crossAx val="694577080"/>
        <c:crosses val="autoZero"/>
        <c:auto val="1"/>
        <c:lblAlgn val="ctr"/>
        <c:lblOffset val="100"/>
        <c:noMultiLvlLbl val="0"/>
      </c:catAx>
      <c:valAx>
        <c:axId val="694577080"/>
        <c:scaling>
          <c:orientation val="minMax"/>
          <c:max val="5"/>
          <c:min val="0"/>
        </c:scaling>
        <c:delete val="0"/>
        <c:axPos val="l"/>
        <c:majorGridlines>
          <c:spPr>
            <a:ln w="19050"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9457740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r>
              <a:rPr lang="es-ES_tradnl">
                <a:ln>
                  <a:solidFill>
                    <a:srgbClr val="F754A1"/>
                  </a:solidFill>
                </a:ln>
                <a:solidFill>
                  <a:srgbClr val="CB10AA"/>
                </a:solidFill>
              </a:rPr>
              <a:t>Madurez capacidad</a:t>
            </a:r>
          </a:p>
        </c:rich>
      </c:tx>
      <c:overlay val="0"/>
      <c:spPr>
        <a:noFill/>
        <a:ln>
          <a:noFill/>
        </a:ln>
        <a:effectLst/>
      </c:spPr>
      <c:txPr>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endParaRPr lang="es-CO"/>
        </a:p>
      </c:txPr>
    </c:title>
    <c:autoTitleDeleted val="0"/>
    <c:plotArea>
      <c:layout/>
      <c:radarChart>
        <c:radarStyle val="marker"/>
        <c:varyColors val="0"/>
        <c:ser>
          <c:idx val="0"/>
          <c:order val="0"/>
          <c:tx>
            <c:strRef>
              <c:f>'1.MAE'!$H$15</c:f>
              <c:strCache>
                <c:ptCount val="1"/>
              </c:strCache>
            </c:strRef>
          </c:tx>
          <c:spPr>
            <a:ln w="25400" cap="rnd" cmpd="sng" algn="ctr">
              <a:solidFill>
                <a:srgbClr val="F754A1"/>
              </a:solidFill>
              <a:prstDash val="sysDot"/>
              <a:round/>
            </a:ln>
            <a:effectLst/>
          </c:spPr>
          <c:marker>
            <c:symbol val="none"/>
          </c:marker>
          <c:cat>
            <c:strRef>
              <c:f>'1.MAE'!$B$53:$B$55</c:f>
              <c:strCache>
                <c:ptCount val="3"/>
                <c:pt idx="0">
                  <c:v>Terminación </c:v>
                </c:pt>
                <c:pt idx="1">
                  <c:v>Uso </c:v>
                </c:pt>
                <c:pt idx="2">
                  <c:v>Resultados</c:v>
                </c:pt>
              </c:strCache>
            </c:strRef>
          </c:cat>
          <c:val>
            <c:numRef>
              <c:f>'1.MAE'!$H$53:$H$55</c:f>
              <c:numCache>
                <c:formatCode>0.00</c:formatCode>
                <c:ptCount val="3"/>
                <c:pt idx="0">
                  <c:v>5</c:v>
                </c:pt>
                <c:pt idx="1">
                  <c:v>5</c:v>
                </c:pt>
                <c:pt idx="2">
                  <c:v>5</c:v>
                </c:pt>
              </c:numCache>
            </c:numRef>
          </c:val>
          <c:extLst>
            <c:ext xmlns:c16="http://schemas.microsoft.com/office/drawing/2014/chart" uri="{C3380CC4-5D6E-409C-BE32-E72D297353CC}">
              <c16:uniqueId val="{00000000-8EB6-F14F-8AE1-D47626C19EFA}"/>
            </c:ext>
          </c:extLst>
        </c:ser>
        <c:dLbls>
          <c:showLegendKey val="0"/>
          <c:showVal val="0"/>
          <c:showCatName val="0"/>
          <c:showSerName val="0"/>
          <c:showPercent val="0"/>
          <c:showBubbleSize val="0"/>
        </c:dLbls>
        <c:axId val="694577408"/>
        <c:axId val="694577080"/>
      </c:radarChart>
      <c:catAx>
        <c:axId val="69457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3166CA"/>
                </a:solidFill>
                <a:latin typeface="+mn-lt"/>
                <a:ea typeface="+mn-ea"/>
                <a:cs typeface="+mn-cs"/>
              </a:defRPr>
            </a:pPr>
            <a:endParaRPr lang="es-CO"/>
          </a:p>
        </c:txPr>
        <c:crossAx val="694577080"/>
        <c:crosses val="autoZero"/>
        <c:auto val="1"/>
        <c:lblAlgn val="ctr"/>
        <c:lblOffset val="100"/>
        <c:noMultiLvlLbl val="0"/>
      </c:catAx>
      <c:valAx>
        <c:axId val="694577080"/>
        <c:scaling>
          <c:orientation val="minMax"/>
          <c:max val="5"/>
          <c:min val="0"/>
        </c:scaling>
        <c:delete val="0"/>
        <c:axPos val="l"/>
        <c:majorGridlines>
          <c:spPr>
            <a:ln w="19050"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9457740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r>
              <a:rPr lang="es-ES_tradnl">
                <a:ln>
                  <a:solidFill>
                    <a:srgbClr val="F754A1"/>
                  </a:solidFill>
                </a:ln>
                <a:solidFill>
                  <a:srgbClr val="CB10AA"/>
                </a:solidFill>
              </a:rPr>
              <a:t>Madurez habilitadores organizacionales</a:t>
            </a:r>
          </a:p>
        </c:rich>
      </c:tx>
      <c:overlay val="0"/>
      <c:spPr>
        <a:noFill/>
        <a:ln>
          <a:noFill/>
        </a:ln>
        <a:effectLst/>
      </c:spPr>
      <c:txPr>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endParaRPr lang="es-CO"/>
        </a:p>
      </c:txPr>
    </c:title>
    <c:autoTitleDeleted val="0"/>
    <c:plotArea>
      <c:layout/>
      <c:radarChart>
        <c:radarStyle val="marker"/>
        <c:varyColors val="0"/>
        <c:ser>
          <c:idx val="0"/>
          <c:order val="0"/>
          <c:tx>
            <c:strRef>
              <c:f>'1.MAE'!$H$15</c:f>
              <c:strCache>
                <c:ptCount val="1"/>
              </c:strCache>
            </c:strRef>
          </c:tx>
          <c:spPr>
            <a:ln w="25400" cap="rnd" cmpd="sng" algn="ctr">
              <a:solidFill>
                <a:srgbClr val="F754A1"/>
              </a:solidFill>
              <a:prstDash val="sysDot"/>
              <a:round/>
            </a:ln>
            <a:effectLst/>
          </c:spPr>
          <c:marker>
            <c:symbol val="none"/>
          </c:marker>
          <c:cat>
            <c:strRef>
              <c:f>'1.MAE'!$B$64:$B$67</c:f>
              <c:strCache>
                <c:ptCount val="4"/>
                <c:pt idx="0">
                  <c:v>Liderazgo</c:v>
                </c:pt>
                <c:pt idx="1">
                  <c:v>Personas</c:v>
                </c:pt>
                <c:pt idx="2">
                  <c:v>Procesos</c:v>
                </c:pt>
                <c:pt idx="3">
                  <c:v>Herramientas </c:v>
                </c:pt>
              </c:strCache>
            </c:strRef>
          </c:cat>
          <c:val>
            <c:numRef>
              <c:f>'1.MAE'!$H$64:$H$67</c:f>
              <c:numCache>
                <c:formatCode>0.00</c:formatCode>
                <c:ptCount val="4"/>
                <c:pt idx="0">
                  <c:v>5</c:v>
                </c:pt>
                <c:pt idx="1">
                  <c:v>5</c:v>
                </c:pt>
                <c:pt idx="2">
                  <c:v>5</c:v>
                </c:pt>
                <c:pt idx="3">
                  <c:v>5</c:v>
                </c:pt>
              </c:numCache>
            </c:numRef>
          </c:val>
          <c:extLst>
            <c:ext xmlns:c16="http://schemas.microsoft.com/office/drawing/2014/chart" uri="{C3380CC4-5D6E-409C-BE32-E72D297353CC}">
              <c16:uniqueId val="{00000000-CC29-BE44-9D50-8D16B4CD6410}"/>
            </c:ext>
          </c:extLst>
        </c:ser>
        <c:dLbls>
          <c:showLegendKey val="0"/>
          <c:showVal val="0"/>
          <c:showCatName val="0"/>
          <c:showSerName val="0"/>
          <c:showPercent val="0"/>
          <c:showBubbleSize val="0"/>
        </c:dLbls>
        <c:axId val="694577408"/>
        <c:axId val="694577080"/>
      </c:radarChart>
      <c:catAx>
        <c:axId val="69457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3166CA"/>
                </a:solidFill>
                <a:latin typeface="+mn-lt"/>
                <a:ea typeface="+mn-ea"/>
                <a:cs typeface="+mn-cs"/>
              </a:defRPr>
            </a:pPr>
            <a:endParaRPr lang="es-CO"/>
          </a:p>
        </c:txPr>
        <c:crossAx val="694577080"/>
        <c:crosses val="autoZero"/>
        <c:auto val="1"/>
        <c:lblAlgn val="ctr"/>
        <c:lblOffset val="100"/>
        <c:noMultiLvlLbl val="0"/>
      </c:catAx>
      <c:valAx>
        <c:axId val="694577080"/>
        <c:scaling>
          <c:orientation val="minMax"/>
          <c:max val="5"/>
          <c:min val="0"/>
        </c:scaling>
        <c:delete val="0"/>
        <c:axPos val="l"/>
        <c:majorGridlines>
          <c:spPr>
            <a:ln w="19050"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94577408"/>
        <c:crosses val="autoZero"/>
        <c:crossBetween val="between"/>
        <c:majorUnit val="1"/>
      </c:valAx>
      <c:spPr>
        <a:noFill/>
        <a:ln>
          <a:noFill/>
        </a:ln>
        <a:effectLst/>
      </c:spPr>
    </c:plotArea>
    <c:legend>
      <c:legendPos val="t"/>
      <c:layout>
        <c:manualLayout>
          <c:xMode val="edge"/>
          <c:yMode val="edge"/>
          <c:x val="0.67114748975677307"/>
          <c:y val="9.3346059015350355E-2"/>
          <c:w val="0.14694339919282218"/>
          <c:h val="4.26016066173546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r>
              <a:rPr lang="es-ES_tradnl">
                <a:ln>
                  <a:solidFill>
                    <a:srgbClr val="F754A1"/>
                  </a:solidFill>
                </a:ln>
                <a:solidFill>
                  <a:srgbClr val="CB10AA"/>
                </a:solidFill>
              </a:rPr>
              <a:t>Madurez Gestión y Gobierno de TI</a:t>
            </a:r>
          </a:p>
        </c:rich>
      </c:tx>
      <c:overlay val="0"/>
      <c:spPr>
        <a:noFill/>
        <a:ln>
          <a:noFill/>
        </a:ln>
        <a:effectLst/>
      </c:spPr>
      <c:txPr>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endParaRPr lang="es-CO"/>
        </a:p>
      </c:txPr>
    </c:title>
    <c:autoTitleDeleted val="0"/>
    <c:plotArea>
      <c:layout/>
      <c:radarChart>
        <c:radarStyle val="marker"/>
        <c:varyColors val="0"/>
        <c:ser>
          <c:idx val="0"/>
          <c:order val="0"/>
          <c:tx>
            <c:strRef>
              <c:f>'2.MGGTI'!$I$17</c:f>
              <c:strCache>
                <c:ptCount val="1"/>
                <c:pt idx="0">
                  <c:v>Puntaje</c:v>
                </c:pt>
              </c:strCache>
            </c:strRef>
          </c:tx>
          <c:spPr>
            <a:ln w="25400" cap="rnd" cmpd="sng" algn="ctr">
              <a:solidFill>
                <a:srgbClr val="F754A1"/>
              </a:solidFill>
              <a:prstDash val="sysDot"/>
              <a:round/>
            </a:ln>
            <a:effectLst/>
          </c:spPr>
          <c:marker>
            <c:symbol val="none"/>
          </c:marker>
          <c:cat>
            <c:strRef>
              <c:f>'2.MGGTI'!$C$19:$C$24</c:f>
              <c:strCache>
                <c:ptCount val="6"/>
                <c:pt idx="0">
                  <c:v>Estrategia de TI</c:v>
                </c:pt>
                <c:pt idx="1">
                  <c:v>Gobierno de TI</c:v>
                </c:pt>
                <c:pt idx="2">
                  <c:v>Gestión de información</c:v>
                </c:pt>
                <c:pt idx="3">
                  <c:v>Gestión de Sistemas de información</c:v>
                </c:pt>
                <c:pt idx="4">
                  <c:v>Gestión de servicios de Tecnología</c:v>
                </c:pt>
                <c:pt idx="5">
                  <c:v>Uso y Apropiación</c:v>
                </c:pt>
              </c:strCache>
            </c:strRef>
          </c:cat>
          <c:val>
            <c:numRef>
              <c:f>'2.MGGTI'!$I$19:$I$24</c:f>
              <c:numCache>
                <c:formatCode>0.00</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3E7F-5745-B5EB-42146C4D52B2}"/>
            </c:ext>
          </c:extLst>
        </c:ser>
        <c:dLbls>
          <c:showLegendKey val="0"/>
          <c:showVal val="0"/>
          <c:showCatName val="0"/>
          <c:showSerName val="0"/>
          <c:showPercent val="0"/>
          <c:showBubbleSize val="0"/>
        </c:dLbls>
        <c:axId val="694577408"/>
        <c:axId val="694577080"/>
      </c:radarChart>
      <c:catAx>
        <c:axId val="69457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3166CA"/>
                </a:solidFill>
                <a:latin typeface="+mn-lt"/>
                <a:ea typeface="+mn-ea"/>
                <a:cs typeface="+mn-cs"/>
              </a:defRPr>
            </a:pPr>
            <a:endParaRPr lang="es-CO"/>
          </a:p>
        </c:txPr>
        <c:crossAx val="694577080"/>
        <c:crosses val="autoZero"/>
        <c:auto val="1"/>
        <c:lblAlgn val="ctr"/>
        <c:lblOffset val="100"/>
        <c:noMultiLvlLbl val="0"/>
      </c:catAx>
      <c:valAx>
        <c:axId val="694577080"/>
        <c:scaling>
          <c:orientation val="minMax"/>
          <c:max val="5"/>
          <c:min val="0"/>
        </c:scaling>
        <c:delete val="0"/>
        <c:axPos val="l"/>
        <c:majorGridlines>
          <c:spPr>
            <a:ln w="19050"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9457740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r>
              <a:rPr lang="es-ES_tradnl">
                <a:ln>
                  <a:solidFill>
                    <a:srgbClr val="F754A1"/>
                  </a:solidFill>
                </a:ln>
                <a:solidFill>
                  <a:srgbClr val="CB10AA"/>
                </a:solidFill>
              </a:rPr>
              <a:t>Madurez estrategia de TI</a:t>
            </a:r>
          </a:p>
        </c:rich>
      </c:tx>
      <c:overlay val="0"/>
      <c:spPr>
        <a:noFill/>
        <a:ln>
          <a:noFill/>
        </a:ln>
        <a:effectLst/>
      </c:spPr>
      <c:txPr>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endParaRPr lang="es-CO"/>
        </a:p>
      </c:txPr>
    </c:title>
    <c:autoTitleDeleted val="0"/>
    <c:plotArea>
      <c:layout/>
      <c:radarChart>
        <c:radarStyle val="marker"/>
        <c:varyColors val="0"/>
        <c:ser>
          <c:idx val="0"/>
          <c:order val="0"/>
          <c:tx>
            <c:strRef>
              <c:f>'2.MGGTI'!$I$17</c:f>
              <c:strCache>
                <c:ptCount val="1"/>
                <c:pt idx="0">
                  <c:v>Puntaje</c:v>
                </c:pt>
              </c:strCache>
            </c:strRef>
          </c:tx>
          <c:spPr>
            <a:ln w="25400" cap="rnd" cmpd="sng" algn="ctr">
              <a:solidFill>
                <a:srgbClr val="F754A1"/>
              </a:solidFill>
              <a:prstDash val="sysDot"/>
              <a:round/>
            </a:ln>
            <a:effectLst/>
          </c:spPr>
          <c:marker>
            <c:symbol val="none"/>
          </c:marker>
          <c:cat>
            <c:strRef>
              <c:f>'2.MGGTI'!$C$33:$C$37</c:f>
              <c:strCache>
                <c:ptCount val="5"/>
                <c:pt idx="0">
                  <c:v>Alineación estratégica</c:v>
                </c:pt>
                <c:pt idx="1">
                  <c:v>Definición e implementación de la estrategia</c:v>
                </c:pt>
                <c:pt idx="2">
                  <c:v>Portafolio de proyectos de TI</c:v>
                </c:pt>
                <c:pt idx="3">
                  <c:v>Innovación</c:v>
                </c:pt>
                <c:pt idx="4">
                  <c:v>Seguimiento y resultados de la estrategia</c:v>
                </c:pt>
              </c:strCache>
            </c:strRef>
          </c:cat>
          <c:val>
            <c:numRef>
              <c:f>'2.MGGTI'!$I$33:$I$37</c:f>
              <c:numCache>
                <c:formatCode>0.00</c:formatCode>
                <c:ptCount val="5"/>
                <c:pt idx="0">
                  <c:v>5</c:v>
                </c:pt>
                <c:pt idx="1">
                  <c:v>5</c:v>
                </c:pt>
                <c:pt idx="2">
                  <c:v>5</c:v>
                </c:pt>
                <c:pt idx="3">
                  <c:v>5</c:v>
                </c:pt>
                <c:pt idx="4">
                  <c:v>5</c:v>
                </c:pt>
              </c:numCache>
            </c:numRef>
          </c:val>
          <c:extLst>
            <c:ext xmlns:c16="http://schemas.microsoft.com/office/drawing/2014/chart" uri="{C3380CC4-5D6E-409C-BE32-E72D297353CC}">
              <c16:uniqueId val="{00000000-61C3-ED48-BBE8-FE9D1D7B405B}"/>
            </c:ext>
          </c:extLst>
        </c:ser>
        <c:dLbls>
          <c:showLegendKey val="0"/>
          <c:showVal val="0"/>
          <c:showCatName val="0"/>
          <c:showSerName val="0"/>
          <c:showPercent val="0"/>
          <c:showBubbleSize val="0"/>
        </c:dLbls>
        <c:axId val="694577408"/>
        <c:axId val="694577080"/>
      </c:radarChart>
      <c:catAx>
        <c:axId val="69457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3166CA"/>
                </a:solidFill>
                <a:latin typeface="+mn-lt"/>
                <a:ea typeface="+mn-ea"/>
                <a:cs typeface="+mn-cs"/>
              </a:defRPr>
            </a:pPr>
            <a:endParaRPr lang="es-CO"/>
          </a:p>
        </c:txPr>
        <c:crossAx val="694577080"/>
        <c:crosses val="autoZero"/>
        <c:auto val="1"/>
        <c:lblAlgn val="ctr"/>
        <c:lblOffset val="100"/>
        <c:noMultiLvlLbl val="0"/>
      </c:catAx>
      <c:valAx>
        <c:axId val="694577080"/>
        <c:scaling>
          <c:orientation val="minMax"/>
          <c:max val="5"/>
          <c:min val="0"/>
        </c:scaling>
        <c:delete val="0"/>
        <c:axPos val="l"/>
        <c:majorGridlines>
          <c:spPr>
            <a:ln w="19050"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9457740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r>
              <a:rPr lang="es-ES_tradnl">
                <a:ln>
                  <a:solidFill>
                    <a:srgbClr val="F754A1"/>
                  </a:solidFill>
                </a:ln>
                <a:solidFill>
                  <a:srgbClr val="CB10AA"/>
                </a:solidFill>
              </a:rPr>
              <a:t>Madurez gobierno de TI</a:t>
            </a:r>
          </a:p>
        </c:rich>
      </c:tx>
      <c:overlay val="0"/>
      <c:spPr>
        <a:noFill/>
        <a:ln>
          <a:noFill/>
        </a:ln>
        <a:effectLst/>
      </c:spPr>
      <c:txPr>
        <a:bodyPr rot="0" spcFirstLastPara="1" vertOverflow="ellipsis" vert="horz" wrap="square" anchor="ctr" anchorCtr="1"/>
        <a:lstStyle/>
        <a:p>
          <a:pPr>
            <a:defRPr sz="1800" b="1" i="0" u="none" strike="noStrike" kern="1200" cap="all" spc="150" baseline="0">
              <a:ln>
                <a:solidFill>
                  <a:srgbClr val="F754A1"/>
                </a:solidFill>
              </a:ln>
              <a:solidFill>
                <a:srgbClr val="CB10AA"/>
              </a:solidFill>
              <a:latin typeface="+mn-lt"/>
              <a:ea typeface="+mn-ea"/>
              <a:cs typeface="+mn-cs"/>
            </a:defRPr>
          </a:pPr>
          <a:endParaRPr lang="es-CO"/>
        </a:p>
      </c:txPr>
    </c:title>
    <c:autoTitleDeleted val="0"/>
    <c:plotArea>
      <c:layout/>
      <c:radarChart>
        <c:radarStyle val="marker"/>
        <c:varyColors val="0"/>
        <c:ser>
          <c:idx val="0"/>
          <c:order val="0"/>
          <c:tx>
            <c:strRef>
              <c:f>'2.MGGTI'!$I$17</c:f>
              <c:strCache>
                <c:ptCount val="1"/>
                <c:pt idx="0">
                  <c:v>Puntaje</c:v>
                </c:pt>
              </c:strCache>
            </c:strRef>
          </c:tx>
          <c:spPr>
            <a:ln w="25400" cap="rnd" cmpd="sng" algn="ctr">
              <a:solidFill>
                <a:srgbClr val="F754A1"/>
              </a:solidFill>
              <a:prstDash val="sysDot"/>
              <a:round/>
            </a:ln>
            <a:effectLst/>
          </c:spPr>
          <c:marker>
            <c:symbol val="none"/>
          </c:marker>
          <c:cat>
            <c:strRef>
              <c:f>'2.MGGTI'!$C$46:$C$50</c:f>
              <c:strCache>
                <c:ptCount val="5"/>
                <c:pt idx="0">
                  <c:v>Definición e implementación de Procesos de TI</c:v>
                </c:pt>
                <c:pt idx="1">
                  <c:v>Alineación de procesos</c:v>
                </c:pt>
                <c:pt idx="2">
                  <c:v>Estructura de TI y Esquema de gobierno</c:v>
                </c:pt>
                <c:pt idx="3">
                  <c:v>Adquisiciones, proyectos y proveedores</c:v>
                </c:pt>
                <c:pt idx="4">
                  <c:v>Seguimiento, evaluación y control</c:v>
                </c:pt>
              </c:strCache>
            </c:strRef>
          </c:cat>
          <c:val>
            <c:numRef>
              <c:f>'2.MGGTI'!$I$46:$I$50</c:f>
              <c:numCache>
                <c:formatCode>0.00</c:formatCode>
                <c:ptCount val="5"/>
                <c:pt idx="0">
                  <c:v>5</c:v>
                </c:pt>
                <c:pt idx="1">
                  <c:v>5</c:v>
                </c:pt>
                <c:pt idx="2">
                  <c:v>5</c:v>
                </c:pt>
                <c:pt idx="3">
                  <c:v>5</c:v>
                </c:pt>
                <c:pt idx="4">
                  <c:v>5</c:v>
                </c:pt>
              </c:numCache>
            </c:numRef>
          </c:val>
          <c:extLst>
            <c:ext xmlns:c16="http://schemas.microsoft.com/office/drawing/2014/chart" uri="{C3380CC4-5D6E-409C-BE32-E72D297353CC}">
              <c16:uniqueId val="{00000000-0FFC-FE46-8532-039DE00A4B3B}"/>
            </c:ext>
          </c:extLst>
        </c:ser>
        <c:dLbls>
          <c:showLegendKey val="0"/>
          <c:showVal val="0"/>
          <c:showCatName val="0"/>
          <c:showSerName val="0"/>
          <c:showPercent val="0"/>
          <c:showBubbleSize val="0"/>
        </c:dLbls>
        <c:axId val="694577408"/>
        <c:axId val="694577080"/>
      </c:radarChart>
      <c:catAx>
        <c:axId val="69457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3166CA"/>
                </a:solidFill>
                <a:latin typeface="+mn-lt"/>
                <a:ea typeface="+mn-ea"/>
                <a:cs typeface="+mn-cs"/>
              </a:defRPr>
            </a:pPr>
            <a:endParaRPr lang="es-CO"/>
          </a:p>
        </c:txPr>
        <c:crossAx val="694577080"/>
        <c:crosses val="autoZero"/>
        <c:auto val="1"/>
        <c:lblAlgn val="ctr"/>
        <c:lblOffset val="100"/>
        <c:noMultiLvlLbl val="0"/>
      </c:catAx>
      <c:valAx>
        <c:axId val="694577080"/>
        <c:scaling>
          <c:orientation val="minMax"/>
          <c:max val="5"/>
          <c:min val="0"/>
        </c:scaling>
        <c:delete val="0"/>
        <c:axPos val="l"/>
        <c:majorGridlines>
          <c:spPr>
            <a:ln w="19050"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94577408"/>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31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
  <cs:dataPoint3D>
    <cs:lnRef idx="0">
      <cs:styleClr val="auto"/>
    </cs:lnRef>
    <cs:fillRef idx="0">
      <cs:styleClr val="auto"/>
    </cs:fillRef>
    <cs:effectRef idx="0"/>
    <cs:fontRef idx="minor">
      <a:schemeClr val="tx1"/>
    </cs:fontRef>
    <cs:spPr>
      <a:solidFill>
        <a:schemeClr val="phClr">
          <a:alpha val="50196"/>
        </a:schemeClr>
      </a:solidFill>
      <a:ln w="25400">
        <a:solidFill>
          <a:schemeClr val="phClr"/>
        </a:solidFill>
        <a:prstDash val="sysDot"/>
      </a:ln>
    </cs:spPr>
  </cs:dataPoint3D>
  <cs:dataPointLine>
    <cs:lnRef idx="0">
      <cs:styleClr val="auto"/>
    </cs:lnRef>
    <cs:fillRef idx="0"/>
    <cs:effectRef idx="0"/>
    <cs:fontRef idx="minor">
      <a:schemeClr val="tx1"/>
    </cs:fontRef>
    <cs:spPr>
      <a:ln w="25400" cap="rnd" cmpd="sng" algn="ctr">
        <a:solidFill>
          <a:schemeClr val="phClr"/>
        </a:solidFill>
        <a:prstDash val="sysDot"/>
        <a:round/>
      </a:ln>
    </cs:spPr>
  </cs:dataPointLine>
  <cs:dataPointMarker>
    <cs:lnRef idx="0">
      <cs:styleClr val="auto"/>
    </cs:lnRef>
    <cs:fillRef idx="0">
      <cs:styleClr val="auto"/>
    </cs:fillRef>
    <cs:effectRef idx="0"/>
    <cs:fontRef idx="minor">
      <a:schemeClr val="tx1"/>
    </cs:fontRef>
    <cs:spPr>
      <a:solidFill>
        <a:schemeClr val="phClr"/>
      </a:solidFill>
    </cs:spPr>
  </cs:dataPointMarker>
  <cs:dataPointMarkerLayout symbol="circle" size="6"/>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chart" Target="../charts/chart18.xml"/><Relationship Id="rId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editAs="oneCell">
    <xdr:from>
      <xdr:col>1</xdr:col>
      <xdr:colOff>400457</xdr:colOff>
      <xdr:row>2</xdr:row>
      <xdr:rowOff>138079</xdr:rowOff>
    </xdr:from>
    <xdr:to>
      <xdr:col>2</xdr:col>
      <xdr:colOff>1264058</xdr:colOff>
      <xdr:row>10</xdr:row>
      <xdr:rowOff>1013</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117" y="543398"/>
          <a:ext cx="2471367" cy="1481576"/>
        </a:xfrm>
        <a:prstGeom prst="rect">
          <a:avLst/>
        </a:prstGeom>
      </xdr:spPr>
    </xdr:pic>
    <xdr:clientData/>
  </xdr:twoCellAnchor>
  <xdr:twoCellAnchor>
    <xdr:from>
      <xdr:col>2</xdr:col>
      <xdr:colOff>1285863</xdr:colOff>
      <xdr:row>3</xdr:row>
      <xdr:rowOff>75390</xdr:rowOff>
    </xdr:from>
    <xdr:to>
      <xdr:col>4</xdr:col>
      <xdr:colOff>460363</xdr:colOff>
      <xdr:row>10</xdr:row>
      <xdr:rowOff>67553</xdr:rowOff>
    </xdr:to>
    <xdr:sp macro="" textlink="">
      <xdr:nvSpPr>
        <xdr:cNvPr id="4" name="Google Shape;50;p1">
          <a:extLst>
            <a:ext uri="{FF2B5EF4-FFF2-40B4-BE49-F238E27FC236}">
              <a16:creationId xmlns:a16="http://schemas.microsoft.com/office/drawing/2014/main" id="{00000000-0008-0000-0000-000004000000}"/>
            </a:ext>
          </a:extLst>
        </xdr:cNvPr>
        <xdr:cNvSpPr txBox="1">
          <a:spLocks noGrp="1"/>
        </xdr:cNvSpPr>
      </xdr:nvSpPr>
      <xdr:spPr>
        <a:xfrm>
          <a:off x="3731289" y="683369"/>
          <a:ext cx="5686627" cy="1410780"/>
        </a:xfrm>
        <a:prstGeom prst="rect">
          <a:avLst/>
        </a:prstGeom>
        <a:noFill/>
        <a:ln w="12700">
          <a:noFill/>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spcFirstLastPara="1" wrap="square" lIns="45700" tIns="45700" rIns="45700" bIns="45700" anchor="t" anchorCtr="0">
          <a:normAutofit fontScale="92500" lnSpcReduction="10000"/>
        </a:bodyPr>
        <a:lstStyle>
          <a:lvl1pPr marL="457200" marR="0" lvl="0" indent="-450850" algn="l" defTabSz="914400" rtl="0" latinLnBrk="0">
            <a:lnSpc>
              <a:spcPct val="90000"/>
            </a:lnSpc>
            <a:spcBef>
              <a:spcPts val="1000"/>
            </a:spcBef>
            <a:spcAft>
              <a:spcPts val="0"/>
            </a:spcAft>
            <a:buClr>
              <a:srgbClr val="FFFFFF"/>
            </a:buClr>
            <a:buSzPts val="3500"/>
            <a:buFont typeface="Arial"/>
            <a:buChar char="•"/>
            <a:tabLst/>
            <a:defRPr sz="3500" b="0" i="0" u="none" strike="noStrike" cap="none" spc="0" baseline="0">
              <a:solidFill>
                <a:srgbClr val="FFFFFF"/>
              </a:solidFill>
              <a:uFillTx/>
              <a:latin typeface="Work Sans Medium"/>
              <a:ea typeface="Work Sans Medium"/>
              <a:cs typeface="Work Sans Medium"/>
              <a:sym typeface="Work Sans"/>
            </a:defRPr>
          </a:lvl1pPr>
          <a:lvl2pPr marL="914400" marR="0" lvl="1" indent="-342900" algn="l" defTabSz="914400" rtl="0" latinLnBrk="0">
            <a:lnSpc>
              <a:spcPct val="90000"/>
            </a:lnSpc>
            <a:spcBef>
              <a:spcPts val="1000"/>
            </a:spcBef>
            <a:spcAft>
              <a:spcPts val="0"/>
            </a:spcAft>
            <a:buClr>
              <a:srgbClr val="002E6A"/>
            </a:buClr>
            <a:buSzPts val="1800"/>
            <a:buFont typeface="Arial"/>
            <a:buChar char="•"/>
            <a:tabLst/>
            <a:defRPr sz="2800" b="0" i="0" u="none" strike="noStrike" cap="none" spc="0" baseline="0">
              <a:solidFill>
                <a:srgbClr val="002E6A"/>
              </a:solidFill>
              <a:uFillTx/>
              <a:latin typeface="Work Sans Medium"/>
              <a:ea typeface="Work Sans Medium"/>
              <a:cs typeface="Work Sans Medium"/>
              <a:sym typeface="Work Sans"/>
            </a:defRPr>
          </a:lvl2pPr>
          <a:lvl3pPr marL="1371600" marR="0" lvl="2" indent="-342900" algn="l" defTabSz="914400" rtl="0" latinLnBrk="0">
            <a:lnSpc>
              <a:spcPct val="90000"/>
            </a:lnSpc>
            <a:spcBef>
              <a:spcPts val="1000"/>
            </a:spcBef>
            <a:spcAft>
              <a:spcPts val="0"/>
            </a:spcAft>
            <a:buClr>
              <a:srgbClr val="002E6A"/>
            </a:buClr>
            <a:buSzPts val="1800"/>
            <a:buFont typeface="Arial"/>
            <a:buChar char="•"/>
            <a:tabLst/>
            <a:defRPr sz="2800" b="0" i="0" u="none" strike="noStrike" cap="none" spc="0" baseline="0">
              <a:solidFill>
                <a:srgbClr val="002E6A"/>
              </a:solidFill>
              <a:uFillTx/>
              <a:latin typeface="Work Sans Medium"/>
              <a:ea typeface="Work Sans Medium"/>
              <a:cs typeface="Work Sans Medium"/>
              <a:sym typeface="Work Sans"/>
            </a:defRPr>
          </a:lvl3pPr>
          <a:lvl4pPr marL="1828800" marR="0" lvl="3" indent="-342900" algn="l" defTabSz="914400" rtl="0" latinLnBrk="0">
            <a:lnSpc>
              <a:spcPct val="90000"/>
            </a:lnSpc>
            <a:spcBef>
              <a:spcPts val="1000"/>
            </a:spcBef>
            <a:spcAft>
              <a:spcPts val="0"/>
            </a:spcAft>
            <a:buClr>
              <a:srgbClr val="002E6A"/>
            </a:buClr>
            <a:buSzPts val="1800"/>
            <a:buFont typeface="Arial"/>
            <a:buChar char="•"/>
            <a:tabLst/>
            <a:defRPr sz="2800" b="0" i="0" u="none" strike="noStrike" cap="none" spc="0" baseline="0">
              <a:solidFill>
                <a:srgbClr val="002E6A"/>
              </a:solidFill>
              <a:uFillTx/>
              <a:latin typeface="Work Sans Medium"/>
              <a:ea typeface="Work Sans Medium"/>
              <a:cs typeface="Work Sans Medium"/>
              <a:sym typeface="Work Sans"/>
            </a:defRPr>
          </a:lvl4pPr>
          <a:lvl5pPr marL="2286000" marR="0" lvl="4" indent="-342900" algn="l" defTabSz="914400" rtl="0" latinLnBrk="0">
            <a:lnSpc>
              <a:spcPct val="90000"/>
            </a:lnSpc>
            <a:spcBef>
              <a:spcPts val="1000"/>
            </a:spcBef>
            <a:spcAft>
              <a:spcPts val="0"/>
            </a:spcAft>
            <a:buClr>
              <a:srgbClr val="002E6A"/>
            </a:buClr>
            <a:buSzPts val="1800"/>
            <a:buFont typeface="Arial"/>
            <a:buChar char="•"/>
            <a:tabLst/>
            <a:defRPr sz="2800" b="0" i="0" u="none" strike="noStrike" cap="none" spc="0" baseline="0">
              <a:solidFill>
                <a:srgbClr val="002E6A"/>
              </a:solidFill>
              <a:uFillTx/>
              <a:latin typeface="Work Sans Medium"/>
              <a:ea typeface="Work Sans Medium"/>
              <a:cs typeface="Work Sans Medium"/>
              <a:sym typeface="Work Sans"/>
            </a:defRPr>
          </a:lvl5pPr>
          <a:lvl6pPr marL="2743200" marR="0" lvl="5" indent="-342900" algn="l" defTabSz="914400" rtl="0" latinLnBrk="0">
            <a:lnSpc>
              <a:spcPct val="90000"/>
            </a:lnSpc>
            <a:spcBef>
              <a:spcPts val="1000"/>
            </a:spcBef>
            <a:spcAft>
              <a:spcPts val="0"/>
            </a:spcAft>
            <a:buClr>
              <a:srgbClr val="002E6A"/>
            </a:buClr>
            <a:buSzPts val="1800"/>
            <a:buFont typeface="Arial"/>
            <a:buChar char="•"/>
            <a:tabLst/>
            <a:defRPr sz="2800" b="0" i="0" u="none" strike="noStrike" cap="none" spc="0" baseline="0">
              <a:solidFill>
                <a:srgbClr val="002E6A"/>
              </a:solidFill>
              <a:uFillTx/>
              <a:latin typeface="Work Sans Medium"/>
              <a:ea typeface="Work Sans Medium"/>
              <a:cs typeface="Work Sans Medium"/>
              <a:sym typeface="Work Sans"/>
            </a:defRPr>
          </a:lvl6pPr>
          <a:lvl7pPr marL="3200400" marR="0" lvl="6" indent="-342900" algn="l" defTabSz="914400" rtl="0" latinLnBrk="0">
            <a:lnSpc>
              <a:spcPct val="90000"/>
            </a:lnSpc>
            <a:spcBef>
              <a:spcPts val="1000"/>
            </a:spcBef>
            <a:spcAft>
              <a:spcPts val="0"/>
            </a:spcAft>
            <a:buClr>
              <a:srgbClr val="002E6A"/>
            </a:buClr>
            <a:buSzPts val="1800"/>
            <a:buFont typeface="Arial"/>
            <a:buChar char="•"/>
            <a:tabLst/>
            <a:defRPr sz="2800" b="0" i="0" u="none" strike="noStrike" cap="none" spc="0" baseline="0">
              <a:solidFill>
                <a:srgbClr val="002E6A"/>
              </a:solidFill>
              <a:uFillTx/>
              <a:latin typeface="Work Sans Medium"/>
              <a:ea typeface="Work Sans Medium"/>
              <a:cs typeface="Work Sans Medium"/>
              <a:sym typeface="Work Sans"/>
            </a:defRPr>
          </a:lvl7pPr>
          <a:lvl8pPr marL="3657600" marR="0" lvl="7" indent="-342900" algn="l" defTabSz="914400" rtl="0" latinLnBrk="0">
            <a:lnSpc>
              <a:spcPct val="90000"/>
            </a:lnSpc>
            <a:spcBef>
              <a:spcPts val="1000"/>
            </a:spcBef>
            <a:spcAft>
              <a:spcPts val="0"/>
            </a:spcAft>
            <a:buClr>
              <a:srgbClr val="002E6A"/>
            </a:buClr>
            <a:buSzPts val="1800"/>
            <a:buFont typeface="Arial"/>
            <a:buChar char="•"/>
            <a:tabLst/>
            <a:defRPr sz="2800" b="0" i="0" u="none" strike="noStrike" cap="none" spc="0" baseline="0">
              <a:solidFill>
                <a:srgbClr val="002E6A"/>
              </a:solidFill>
              <a:uFillTx/>
              <a:latin typeface="Work Sans Medium"/>
              <a:ea typeface="Work Sans Medium"/>
              <a:cs typeface="Work Sans Medium"/>
              <a:sym typeface="Work Sans"/>
            </a:defRPr>
          </a:lvl8pPr>
          <a:lvl9pPr marL="4114800" marR="0" lvl="8" indent="-342900" algn="l" defTabSz="914400" rtl="0" latinLnBrk="0">
            <a:lnSpc>
              <a:spcPct val="90000"/>
            </a:lnSpc>
            <a:spcBef>
              <a:spcPts val="1000"/>
            </a:spcBef>
            <a:spcAft>
              <a:spcPts val="0"/>
            </a:spcAft>
            <a:buClr>
              <a:srgbClr val="002E6A"/>
            </a:buClr>
            <a:buSzPts val="1800"/>
            <a:buFont typeface="Arial"/>
            <a:buChar char="•"/>
            <a:tabLst/>
            <a:defRPr sz="2800" b="0" i="0" u="none" strike="noStrike" cap="none" spc="0" baseline="0">
              <a:solidFill>
                <a:srgbClr val="002E6A"/>
              </a:solidFill>
              <a:uFillTx/>
              <a:latin typeface="Work Sans Medium"/>
              <a:ea typeface="Work Sans Medium"/>
              <a:cs typeface="Work Sans Medium"/>
              <a:sym typeface="Work Sans"/>
            </a:defRPr>
          </a:lvl9pPr>
        </a:lstStyle>
        <a:p>
          <a:pPr marL="0" lvl="0" indent="0" algn="r" rtl="0">
            <a:lnSpc>
              <a:spcPct val="90000"/>
            </a:lnSpc>
            <a:spcBef>
              <a:spcPts val="0"/>
            </a:spcBef>
            <a:spcAft>
              <a:spcPts val="0"/>
            </a:spcAft>
            <a:buClr>
              <a:srgbClr val="FFFFFF"/>
            </a:buClr>
            <a:buSzPct val="100000"/>
            <a:buNone/>
          </a:pPr>
          <a:r>
            <a:rPr lang="es-CO">
              <a:solidFill>
                <a:srgbClr val="3166CA"/>
              </a:solidFill>
            </a:rPr>
            <a:t>Marco de Referencia de Arquitectura Empresarial del Estado- MRAE</a:t>
          </a:r>
          <a:endParaRPr>
            <a:solidFill>
              <a:srgbClr val="3166CA"/>
            </a:solidFill>
          </a:endParaRPr>
        </a:p>
      </xdr:txBody>
    </xdr:sp>
    <xdr:clientData/>
  </xdr:twoCellAnchor>
  <xdr:twoCellAnchor>
    <xdr:from>
      <xdr:col>0</xdr:col>
      <xdr:colOff>670748</xdr:colOff>
      <xdr:row>14</xdr:row>
      <xdr:rowOff>23047</xdr:rowOff>
    </xdr:from>
    <xdr:to>
      <xdr:col>4</xdr:col>
      <xdr:colOff>1310922</xdr:colOff>
      <xdr:row>18</xdr:row>
      <xdr:rowOff>13524</xdr:rowOff>
    </xdr:to>
    <xdr:sp macro="" textlink="">
      <xdr:nvSpPr>
        <xdr:cNvPr id="7" name="Google Shape;51;p1">
          <a:extLst>
            <a:ext uri="{FF2B5EF4-FFF2-40B4-BE49-F238E27FC236}">
              <a16:creationId xmlns:a16="http://schemas.microsoft.com/office/drawing/2014/main" id="{00000000-0008-0000-0000-000007000000}"/>
            </a:ext>
          </a:extLst>
        </xdr:cNvPr>
        <xdr:cNvSpPr txBox="1">
          <a:spLocks noGrp="1"/>
        </xdr:cNvSpPr>
      </xdr:nvSpPr>
      <xdr:spPr>
        <a:xfrm>
          <a:off x="670748" y="2821751"/>
          <a:ext cx="9588970" cy="790106"/>
        </a:xfrm>
        <a:prstGeom prst="rect">
          <a:avLst/>
        </a:prstGeom>
        <a:noFill/>
        <a:ln w="12700">
          <a:noFill/>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spcFirstLastPara="1" wrap="square" lIns="45700" tIns="45700" rIns="45700" bIns="45700" anchor="t" anchorCtr="0">
          <a:normAutofit fontScale="47500" lnSpcReduction="20000"/>
        </a:bodyPr>
        <a:lstStyle>
          <a:lvl1pPr marL="457200" marR="0" lvl="0" indent="-520700" algn="l" defTabSz="914400" rtl="0" latinLnBrk="0">
            <a:lnSpc>
              <a:spcPct val="90000"/>
            </a:lnSpc>
            <a:spcBef>
              <a:spcPts val="1000"/>
            </a:spcBef>
            <a:spcAft>
              <a:spcPts val="0"/>
            </a:spcAft>
            <a:buClr>
              <a:srgbClr val="FFFFFF"/>
            </a:buClr>
            <a:buSzPts val="4600"/>
            <a:buFont typeface="Arial"/>
            <a:buChar char="•"/>
            <a:tabLst/>
            <a:defRPr sz="4600" b="0" i="0" u="none" strike="noStrike" cap="none" spc="0" baseline="0">
              <a:solidFill>
                <a:srgbClr val="FFFFFF"/>
              </a:solidFill>
              <a:uFillTx/>
              <a:latin typeface="Work Sans Medium"/>
              <a:ea typeface="Work Sans Medium"/>
              <a:cs typeface="Work Sans Medium"/>
              <a:sym typeface="Work Sans"/>
            </a:defRPr>
          </a:lvl1pPr>
          <a:lvl2pPr marL="914400" marR="0" lvl="1" indent="-342900" algn="l" defTabSz="914400" rtl="0" latinLnBrk="0">
            <a:lnSpc>
              <a:spcPct val="90000"/>
            </a:lnSpc>
            <a:spcBef>
              <a:spcPts val="1000"/>
            </a:spcBef>
            <a:spcAft>
              <a:spcPts val="0"/>
            </a:spcAft>
            <a:buClr>
              <a:srgbClr val="002E6A"/>
            </a:buClr>
            <a:buSzPts val="1800"/>
            <a:buFont typeface="Arial"/>
            <a:buChar char="•"/>
            <a:tabLst/>
            <a:defRPr sz="2800" b="0" i="0" u="none" strike="noStrike" cap="none" spc="0" baseline="0">
              <a:solidFill>
                <a:srgbClr val="002E6A"/>
              </a:solidFill>
              <a:uFillTx/>
              <a:latin typeface="Work Sans Medium"/>
              <a:ea typeface="Work Sans Medium"/>
              <a:cs typeface="Work Sans Medium"/>
              <a:sym typeface="Work Sans"/>
            </a:defRPr>
          </a:lvl2pPr>
          <a:lvl3pPr marL="1371600" marR="0" lvl="2" indent="-342900" algn="l" defTabSz="914400" rtl="0" latinLnBrk="0">
            <a:lnSpc>
              <a:spcPct val="90000"/>
            </a:lnSpc>
            <a:spcBef>
              <a:spcPts val="1000"/>
            </a:spcBef>
            <a:spcAft>
              <a:spcPts val="0"/>
            </a:spcAft>
            <a:buClr>
              <a:srgbClr val="002E6A"/>
            </a:buClr>
            <a:buSzPts val="1800"/>
            <a:buFont typeface="Arial"/>
            <a:buChar char="•"/>
            <a:tabLst/>
            <a:defRPr sz="2800" b="0" i="0" u="none" strike="noStrike" cap="none" spc="0" baseline="0">
              <a:solidFill>
                <a:srgbClr val="002E6A"/>
              </a:solidFill>
              <a:uFillTx/>
              <a:latin typeface="Work Sans Medium"/>
              <a:ea typeface="Work Sans Medium"/>
              <a:cs typeface="Work Sans Medium"/>
              <a:sym typeface="Work Sans"/>
            </a:defRPr>
          </a:lvl3pPr>
          <a:lvl4pPr marL="1828800" marR="0" lvl="3" indent="-342900" algn="l" defTabSz="914400" rtl="0" latinLnBrk="0">
            <a:lnSpc>
              <a:spcPct val="90000"/>
            </a:lnSpc>
            <a:spcBef>
              <a:spcPts val="1000"/>
            </a:spcBef>
            <a:spcAft>
              <a:spcPts val="0"/>
            </a:spcAft>
            <a:buClr>
              <a:srgbClr val="002E6A"/>
            </a:buClr>
            <a:buSzPts val="1800"/>
            <a:buFont typeface="Arial"/>
            <a:buChar char="•"/>
            <a:tabLst/>
            <a:defRPr sz="2800" b="0" i="0" u="none" strike="noStrike" cap="none" spc="0" baseline="0">
              <a:solidFill>
                <a:srgbClr val="002E6A"/>
              </a:solidFill>
              <a:uFillTx/>
              <a:latin typeface="Work Sans Medium"/>
              <a:ea typeface="Work Sans Medium"/>
              <a:cs typeface="Work Sans Medium"/>
              <a:sym typeface="Work Sans"/>
            </a:defRPr>
          </a:lvl4pPr>
          <a:lvl5pPr marL="2286000" marR="0" lvl="4" indent="-342900" algn="l" defTabSz="914400" rtl="0" latinLnBrk="0">
            <a:lnSpc>
              <a:spcPct val="90000"/>
            </a:lnSpc>
            <a:spcBef>
              <a:spcPts val="1000"/>
            </a:spcBef>
            <a:spcAft>
              <a:spcPts val="0"/>
            </a:spcAft>
            <a:buClr>
              <a:srgbClr val="002E6A"/>
            </a:buClr>
            <a:buSzPts val="1800"/>
            <a:buFont typeface="Arial"/>
            <a:buChar char="•"/>
            <a:tabLst/>
            <a:defRPr sz="2800" b="0" i="0" u="none" strike="noStrike" cap="none" spc="0" baseline="0">
              <a:solidFill>
                <a:srgbClr val="002E6A"/>
              </a:solidFill>
              <a:uFillTx/>
              <a:latin typeface="Work Sans Medium"/>
              <a:ea typeface="Work Sans Medium"/>
              <a:cs typeface="Work Sans Medium"/>
              <a:sym typeface="Work Sans"/>
            </a:defRPr>
          </a:lvl5pPr>
          <a:lvl6pPr marL="2743200" marR="0" lvl="5" indent="-342900" algn="l" defTabSz="914400" rtl="0" latinLnBrk="0">
            <a:lnSpc>
              <a:spcPct val="90000"/>
            </a:lnSpc>
            <a:spcBef>
              <a:spcPts val="1000"/>
            </a:spcBef>
            <a:spcAft>
              <a:spcPts val="0"/>
            </a:spcAft>
            <a:buClr>
              <a:srgbClr val="002E6A"/>
            </a:buClr>
            <a:buSzPts val="1800"/>
            <a:buFont typeface="Arial"/>
            <a:buChar char="•"/>
            <a:tabLst/>
            <a:defRPr sz="2800" b="0" i="0" u="none" strike="noStrike" cap="none" spc="0" baseline="0">
              <a:solidFill>
                <a:srgbClr val="002E6A"/>
              </a:solidFill>
              <a:uFillTx/>
              <a:latin typeface="Work Sans Medium"/>
              <a:ea typeface="Work Sans Medium"/>
              <a:cs typeface="Work Sans Medium"/>
              <a:sym typeface="Work Sans"/>
            </a:defRPr>
          </a:lvl6pPr>
          <a:lvl7pPr marL="3200400" marR="0" lvl="6" indent="-342900" algn="l" defTabSz="914400" rtl="0" latinLnBrk="0">
            <a:lnSpc>
              <a:spcPct val="90000"/>
            </a:lnSpc>
            <a:spcBef>
              <a:spcPts val="1000"/>
            </a:spcBef>
            <a:spcAft>
              <a:spcPts val="0"/>
            </a:spcAft>
            <a:buClr>
              <a:srgbClr val="002E6A"/>
            </a:buClr>
            <a:buSzPts val="1800"/>
            <a:buFont typeface="Arial"/>
            <a:buChar char="•"/>
            <a:tabLst/>
            <a:defRPr sz="2800" b="0" i="0" u="none" strike="noStrike" cap="none" spc="0" baseline="0">
              <a:solidFill>
                <a:srgbClr val="002E6A"/>
              </a:solidFill>
              <a:uFillTx/>
              <a:latin typeface="Work Sans Medium"/>
              <a:ea typeface="Work Sans Medium"/>
              <a:cs typeface="Work Sans Medium"/>
              <a:sym typeface="Work Sans"/>
            </a:defRPr>
          </a:lvl7pPr>
          <a:lvl8pPr marL="3657600" marR="0" lvl="7" indent="-342900" algn="l" defTabSz="914400" rtl="0" latinLnBrk="0">
            <a:lnSpc>
              <a:spcPct val="90000"/>
            </a:lnSpc>
            <a:spcBef>
              <a:spcPts val="1000"/>
            </a:spcBef>
            <a:spcAft>
              <a:spcPts val="0"/>
            </a:spcAft>
            <a:buClr>
              <a:srgbClr val="002E6A"/>
            </a:buClr>
            <a:buSzPts val="1800"/>
            <a:buFont typeface="Arial"/>
            <a:buChar char="•"/>
            <a:tabLst/>
            <a:defRPr sz="2800" b="0" i="0" u="none" strike="noStrike" cap="none" spc="0" baseline="0">
              <a:solidFill>
                <a:srgbClr val="002E6A"/>
              </a:solidFill>
              <a:uFillTx/>
              <a:latin typeface="Work Sans Medium"/>
              <a:ea typeface="Work Sans Medium"/>
              <a:cs typeface="Work Sans Medium"/>
              <a:sym typeface="Work Sans"/>
            </a:defRPr>
          </a:lvl8pPr>
          <a:lvl9pPr marL="4114800" marR="0" lvl="8" indent="-342900" algn="l" defTabSz="914400" rtl="0" latinLnBrk="0">
            <a:lnSpc>
              <a:spcPct val="90000"/>
            </a:lnSpc>
            <a:spcBef>
              <a:spcPts val="1000"/>
            </a:spcBef>
            <a:spcAft>
              <a:spcPts val="0"/>
            </a:spcAft>
            <a:buClr>
              <a:srgbClr val="002E6A"/>
            </a:buClr>
            <a:buSzPts val="1800"/>
            <a:buFont typeface="Arial"/>
            <a:buChar char="•"/>
            <a:tabLst/>
            <a:defRPr sz="2800" b="0" i="0" u="none" strike="noStrike" cap="none" spc="0" baseline="0">
              <a:solidFill>
                <a:srgbClr val="002E6A"/>
              </a:solidFill>
              <a:uFillTx/>
              <a:latin typeface="Work Sans Medium"/>
              <a:ea typeface="Work Sans Medium"/>
              <a:cs typeface="Work Sans Medium"/>
              <a:sym typeface="Work Sans"/>
            </a:defRPr>
          </a:lvl9pPr>
        </a:lstStyle>
        <a:p>
          <a:pPr marL="0" lvl="0" indent="0" algn="ctr" rtl="0">
            <a:lnSpc>
              <a:spcPct val="90000"/>
            </a:lnSpc>
            <a:spcBef>
              <a:spcPts val="0"/>
            </a:spcBef>
            <a:spcAft>
              <a:spcPts val="0"/>
            </a:spcAft>
            <a:buClr>
              <a:srgbClr val="FFFFFF"/>
            </a:buClr>
            <a:buSzPct val="100000"/>
            <a:buNone/>
          </a:pPr>
          <a:r>
            <a:rPr lang="es-CO">
              <a:solidFill>
                <a:srgbClr val="3166CA"/>
              </a:solidFill>
            </a:rPr>
            <a:t>Instrumento</a:t>
          </a:r>
          <a:r>
            <a:rPr lang="es-CO" baseline="0">
              <a:solidFill>
                <a:srgbClr val="3166CA"/>
              </a:solidFill>
            </a:rPr>
            <a:t> de Evaluación del Nivel de Madurez - MRAE</a:t>
          </a:r>
          <a:endParaRPr>
            <a:solidFill>
              <a:srgbClr val="3166CA"/>
            </a:solidFill>
          </a:endParaRPr>
        </a:p>
      </xdr:txBody>
    </xdr:sp>
    <xdr:clientData/>
  </xdr:twoCellAnchor>
  <xdr:twoCellAnchor editAs="oneCell">
    <xdr:from>
      <xdr:col>4</xdr:col>
      <xdr:colOff>391811</xdr:colOff>
      <xdr:row>33</xdr:row>
      <xdr:rowOff>1742873</xdr:rowOff>
    </xdr:from>
    <xdr:to>
      <xdr:col>4</xdr:col>
      <xdr:colOff>757571</xdr:colOff>
      <xdr:row>33</xdr:row>
      <xdr:rowOff>2108633</xdr:rowOff>
    </xdr:to>
    <xdr:pic>
      <xdr:nvPicPr>
        <xdr:cNvPr id="11" name="Gráfico 10" descr="Desbloquear con relleno sólido">
          <a:extLst>
            <a:ext uri="{FF2B5EF4-FFF2-40B4-BE49-F238E27FC236}">
              <a16:creationId xmlns:a16="http://schemas.microsoft.com/office/drawing/2014/main" id="{AB691C0C-0A3F-F342-B203-8B5E345F58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349364" y="14821171"/>
          <a:ext cx="365760" cy="365760"/>
        </a:xfrm>
        <a:prstGeom prst="rect">
          <a:avLst/>
        </a:prstGeom>
      </xdr:spPr>
    </xdr:pic>
    <xdr:clientData/>
  </xdr:twoCellAnchor>
  <xdr:twoCellAnchor editAs="oneCell">
    <xdr:from>
      <xdr:col>4</xdr:col>
      <xdr:colOff>391808</xdr:colOff>
      <xdr:row>36</xdr:row>
      <xdr:rowOff>2323830</xdr:rowOff>
    </xdr:from>
    <xdr:to>
      <xdr:col>4</xdr:col>
      <xdr:colOff>757568</xdr:colOff>
      <xdr:row>36</xdr:row>
      <xdr:rowOff>2689590</xdr:rowOff>
    </xdr:to>
    <xdr:pic>
      <xdr:nvPicPr>
        <xdr:cNvPr id="12" name="Gráfico 11" descr="Desbloquear con relleno sólido">
          <a:extLst>
            <a:ext uri="{FF2B5EF4-FFF2-40B4-BE49-F238E27FC236}">
              <a16:creationId xmlns:a16="http://schemas.microsoft.com/office/drawing/2014/main" id="{8BCA2A6E-D16F-294F-8742-F5EBEC789D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349361" y="20603724"/>
          <a:ext cx="365760" cy="365760"/>
        </a:xfrm>
        <a:prstGeom prst="rect">
          <a:avLst/>
        </a:prstGeom>
      </xdr:spPr>
    </xdr:pic>
    <xdr:clientData/>
  </xdr:twoCellAnchor>
  <xdr:twoCellAnchor editAs="oneCell">
    <xdr:from>
      <xdr:col>4</xdr:col>
      <xdr:colOff>459362</xdr:colOff>
      <xdr:row>39</xdr:row>
      <xdr:rowOff>1877979</xdr:rowOff>
    </xdr:from>
    <xdr:to>
      <xdr:col>4</xdr:col>
      <xdr:colOff>825122</xdr:colOff>
      <xdr:row>39</xdr:row>
      <xdr:rowOff>2243739</xdr:rowOff>
    </xdr:to>
    <xdr:pic>
      <xdr:nvPicPr>
        <xdr:cNvPr id="13" name="Gráfico 12" descr="Desbloquear con relleno sólido">
          <a:extLst>
            <a:ext uri="{FF2B5EF4-FFF2-40B4-BE49-F238E27FC236}">
              <a16:creationId xmlns:a16="http://schemas.microsoft.com/office/drawing/2014/main" id="{4AEB2306-9EA0-8D4B-90F5-8501B94190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416915" y="26467341"/>
          <a:ext cx="365760" cy="365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1555307</xdr:colOff>
      <xdr:row>35</xdr:row>
      <xdr:rowOff>125158</xdr:rowOff>
    </xdr:from>
    <xdr:to>
      <xdr:col>5</xdr:col>
      <xdr:colOff>491867</xdr:colOff>
      <xdr:row>38</xdr:row>
      <xdr:rowOff>51203</xdr:rowOff>
    </xdr:to>
    <xdr:sp macro="" textlink="">
      <xdr:nvSpPr>
        <xdr:cNvPr id="32" name="Título 2">
          <a:extLst>
            <a:ext uri="{FF2B5EF4-FFF2-40B4-BE49-F238E27FC236}">
              <a16:creationId xmlns:a16="http://schemas.microsoft.com/office/drawing/2014/main" id="{00000000-0008-0000-0100-000020000000}"/>
            </a:ext>
          </a:extLst>
        </xdr:cNvPr>
        <xdr:cNvSpPr>
          <a:spLocks noGrp="1"/>
        </xdr:cNvSpPr>
      </xdr:nvSpPr>
      <xdr:spPr>
        <a:xfrm>
          <a:off x="2385040" y="7033958"/>
          <a:ext cx="9841627" cy="535645"/>
        </a:xfrm>
        <a:prstGeom prst="rect">
          <a:avLst/>
        </a:prstGeom>
        <a:ln w="12700">
          <a:noFill/>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45719" rIns="45719" anchor="ctr">
          <a:noAutofit/>
        </a:bodyPr>
        <a:lstStyle>
          <a:lvl1pPr marL="0" marR="0" indent="0" algn="r" defTabSz="914400" rtl="0" latinLnBrk="0">
            <a:lnSpc>
              <a:spcPct val="90000"/>
            </a:lnSpc>
            <a:spcBef>
              <a:spcPts val="0"/>
            </a:spcBef>
            <a:spcAft>
              <a:spcPts val="0"/>
            </a:spcAft>
            <a:buClrTx/>
            <a:buSzTx/>
            <a:buFontTx/>
            <a:buNone/>
            <a:tabLst/>
            <a:defRPr sz="2200" b="1" i="0" u="none" strike="noStrike" cap="none" spc="0" baseline="0">
              <a:solidFill>
                <a:srgbClr val="FFFFFF"/>
              </a:solidFill>
              <a:uFillTx/>
              <a:latin typeface="Work Sans Black"/>
              <a:ea typeface="Work Sans Black"/>
              <a:cs typeface="Work Sans Black"/>
              <a:sym typeface="Work Sans"/>
            </a:defRPr>
          </a:lvl1pPr>
          <a:lvl2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2pPr>
          <a:lvl3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3pPr>
          <a:lvl4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4pPr>
          <a:lvl5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5pPr>
          <a:lvl6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6pPr>
          <a:lvl7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7pPr>
          <a:lvl8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8pPr>
          <a:lvl9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9pPr>
        </a:lstStyle>
        <a:p>
          <a:pPr algn="ctr"/>
          <a:r>
            <a:rPr lang="es-CO" sz="3600">
              <a:solidFill>
                <a:srgbClr val="3166CA"/>
              </a:solidFill>
            </a:rPr>
            <a:t>Madurez Arquitectura</a:t>
          </a:r>
          <a:r>
            <a:rPr lang="es-CO" sz="3600" baseline="0">
              <a:solidFill>
                <a:srgbClr val="3166CA"/>
              </a:solidFill>
            </a:rPr>
            <a:t> Empresarial</a:t>
          </a:r>
          <a:endParaRPr lang="es-CO" sz="3600">
            <a:solidFill>
              <a:srgbClr val="3166CA"/>
            </a:solidFill>
          </a:endParaRPr>
        </a:p>
      </xdr:txBody>
    </xdr:sp>
    <xdr:clientData/>
  </xdr:twoCellAnchor>
  <xdr:twoCellAnchor>
    <xdr:from>
      <xdr:col>1</xdr:col>
      <xdr:colOff>2403925</xdr:colOff>
      <xdr:row>1</xdr:row>
      <xdr:rowOff>13759</xdr:rowOff>
    </xdr:from>
    <xdr:to>
      <xdr:col>4</xdr:col>
      <xdr:colOff>1006475</xdr:colOff>
      <xdr:row>3</xdr:row>
      <xdr:rowOff>120650</xdr:rowOff>
    </xdr:to>
    <xdr:sp macro="" textlink="">
      <xdr:nvSpPr>
        <xdr:cNvPr id="93" name="Título 2">
          <a:extLst>
            <a:ext uri="{FF2B5EF4-FFF2-40B4-BE49-F238E27FC236}">
              <a16:creationId xmlns:a16="http://schemas.microsoft.com/office/drawing/2014/main" id="{00000000-0008-0000-0100-00005D000000}"/>
            </a:ext>
          </a:extLst>
        </xdr:cNvPr>
        <xdr:cNvSpPr>
          <a:spLocks noGrp="1"/>
        </xdr:cNvSpPr>
      </xdr:nvSpPr>
      <xdr:spPr>
        <a:xfrm>
          <a:off x="3233658" y="216959"/>
          <a:ext cx="6781350" cy="513291"/>
        </a:xfrm>
        <a:prstGeom prst="rect">
          <a:avLst/>
        </a:prstGeom>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45719" rIns="45719" anchor="ctr">
          <a:noAutofit/>
        </a:bodyPr>
        <a:lstStyle>
          <a:lvl1pPr marL="0" marR="0" indent="0" algn="r" defTabSz="914400" rtl="0" latinLnBrk="0">
            <a:lnSpc>
              <a:spcPct val="90000"/>
            </a:lnSpc>
            <a:spcBef>
              <a:spcPts val="0"/>
            </a:spcBef>
            <a:spcAft>
              <a:spcPts val="0"/>
            </a:spcAft>
            <a:buClrTx/>
            <a:buSzTx/>
            <a:buFontTx/>
            <a:buNone/>
            <a:tabLst/>
            <a:defRPr sz="2200" b="1" i="0" u="none" strike="noStrike" cap="none" spc="0" baseline="0">
              <a:solidFill>
                <a:srgbClr val="FFFFFF"/>
              </a:solidFill>
              <a:uFillTx/>
              <a:latin typeface="Work Sans Black"/>
              <a:ea typeface="Work Sans Black"/>
              <a:cs typeface="Work Sans Black"/>
              <a:sym typeface="Work Sans"/>
            </a:defRPr>
          </a:lvl1pPr>
          <a:lvl2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2pPr>
          <a:lvl3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3pPr>
          <a:lvl4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4pPr>
          <a:lvl5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5pPr>
          <a:lvl6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6pPr>
          <a:lvl7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7pPr>
          <a:lvl8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8pPr>
          <a:lvl9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9pPr>
        </a:lstStyle>
        <a:p>
          <a:r>
            <a:rPr lang="es-CO" sz="3600">
              <a:solidFill>
                <a:srgbClr val="3166CA"/>
              </a:solidFill>
            </a:rPr>
            <a:t>Niveles de madurez de CCMI</a:t>
          </a:r>
        </a:p>
      </xdr:txBody>
    </xdr:sp>
    <xdr:clientData/>
  </xdr:twoCellAnchor>
  <xdr:twoCellAnchor>
    <xdr:from>
      <xdr:col>1</xdr:col>
      <xdr:colOff>1416736</xdr:colOff>
      <xdr:row>5</xdr:row>
      <xdr:rowOff>107503</xdr:rowOff>
    </xdr:from>
    <xdr:to>
      <xdr:col>5</xdr:col>
      <xdr:colOff>1651000</xdr:colOff>
      <xdr:row>31</xdr:row>
      <xdr:rowOff>88832</xdr:rowOff>
    </xdr:to>
    <xdr:grpSp>
      <xdr:nvGrpSpPr>
        <xdr:cNvPr id="219" name="Grupo 218">
          <a:extLst>
            <a:ext uri="{FF2B5EF4-FFF2-40B4-BE49-F238E27FC236}">
              <a16:creationId xmlns:a16="http://schemas.microsoft.com/office/drawing/2014/main" id="{00000000-0008-0000-0100-0000DB000000}"/>
            </a:ext>
          </a:extLst>
        </xdr:cNvPr>
        <xdr:cNvGrpSpPr/>
      </xdr:nvGrpSpPr>
      <xdr:grpSpPr>
        <a:xfrm>
          <a:off x="2248805" y="1092848"/>
          <a:ext cx="11182540" cy="5105122"/>
          <a:chOff x="838200" y="1007830"/>
          <a:chExt cx="12027325" cy="5261390"/>
        </a:xfrm>
      </xdr:grpSpPr>
      <xdr:sp macro="" textlink="">
        <xdr:nvSpPr>
          <xdr:cNvPr id="94" name="Forma libre 93">
            <a:extLst>
              <a:ext uri="{FF2B5EF4-FFF2-40B4-BE49-F238E27FC236}">
                <a16:creationId xmlns:a16="http://schemas.microsoft.com/office/drawing/2014/main" id="{00000000-0008-0000-0100-00005E000000}"/>
              </a:ext>
            </a:extLst>
          </xdr:cNvPr>
          <xdr:cNvSpPr/>
        </xdr:nvSpPr>
        <xdr:spPr>
          <a:xfrm>
            <a:off x="1209287" y="4873873"/>
            <a:ext cx="1897980" cy="1395347"/>
          </a:xfrm>
          <a:custGeom>
            <a:avLst/>
            <a:gdLst>
              <a:gd name="connsiteX0" fmla="*/ 0 w 1540933"/>
              <a:gd name="connsiteY0" fmla="*/ 0 h 1202267"/>
              <a:gd name="connsiteX1" fmla="*/ 0 w 1540933"/>
              <a:gd name="connsiteY1" fmla="*/ 1202267 h 1202267"/>
              <a:gd name="connsiteX2" fmla="*/ 1540933 w 1540933"/>
              <a:gd name="connsiteY2" fmla="*/ 1202267 h 1202267"/>
            </a:gdLst>
            <a:ahLst/>
            <a:cxnLst>
              <a:cxn ang="0">
                <a:pos x="connsiteX0" y="connsiteY0"/>
              </a:cxn>
              <a:cxn ang="0">
                <a:pos x="connsiteX1" y="connsiteY1"/>
              </a:cxn>
              <a:cxn ang="0">
                <a:pos x="connsiteX2" y="connsiteY2"/>
              </a:cxn>
            </a:cxnLst>
            <a:rect l="l" t="t" r="r" b="b"/>
            <a:pathLst>
              <a:path w="1540933" h="1202267">
                <a:moveTo>
                  <a:pt x="0" y="0"/>
                </a:moveTo>
                <a:lnTo>
                  <a:pt x="0" y="1202267"/>
                </a:lnTo>
                <a:lnTo>
                  <a:pt x="1540933" y="1202267"/>
                </a:lnTo>
              </a:path>
            </a:pathLst>
          </a:custGeom>
          <a:noFill/>
          <a:ln>
            <a:solidFill>
              <a:srgbClr val="F654A1"/>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p>
        </xdr:txBody>
      </xdr:sp>
      <xdr:sp macro="" textlink="">
        <xdr:nvSpPr>
          <xdr:cNvPr id="95" name="Forma libre 94">
            <a:extLst>
              <a:ext uri="{FF2B5EF4-FFF2-40B4-BE49-F238E27FC236}">
                <a16:creationId xmlns:a16="http://schemas.microsoft.com/office/drawing/2014/main" id="{00000000-0008-0000-0100-00005F000000}"/>
              </a:ext>
            </a:extLst>
          </xdr:cNvPr>
          <xdr:cNvSpPr/>
        </xdr:nvSpPr>
        <xdr:spPr>
          <a:xfrm>
            <a:off x="3512219" y="4061594"/>
            <a:ext cx="1972562" cy="2207504"/>
          </a:xfrm>
          <a:custGeom>
            <a:avLst/>
            <a:gdLst>
              <a:gd name="connsiteX0" fmla="*/ 0 w 1540933"/>
              <a:gd name="connsiteY0" fmla="*/ 0 h 1202267"/>
              <a:gd name="connsiteX1" fmla="*/ 0 w 1540933"/>
              <a:gd name="connsiteY1" fmla="*/ 1202267 h 1202267"/>
              <a:gd name="connsiteX2" fmla="*/ 1540933 w 1540933"/>
              <a:gd name="connsiteY2" fmla="*/ 1202267 h 1202267"/>
            </a:gdLst>
            <a:ahLst/>
            <a:cxnLst>
              <a:cxn ang="0">
                <a:pos x="connsiteX0" y="connsiteY0"/>
              </a:cxn>
              <a:cxn ang="0">
                <a:pos x="connsiteX1" y="connsiteY1"/>
              </a:cxn>
              <a:cxn ang="0">
                <a:pos x="connsiteX2" y="connsiteY2"/>
              </a:cxn>
            </a:cxnLst>
            <a:rect l="l" t="t" r="r" b="b"/>
            <a:pathLst>
              <a:path w="1540933" h="1202267">
                <a:moveTo>
                  <a:pt x="0" y="0"/>
                </a:moveTo>
                <a:lnTo>
                  <a:pt x="0" y="1202267"/>
                </a:lnTo>
                <a:lnTo>
                  <a:pt x="1540933" y="1202267"/>
                </a:lnTo>
              </a:path>
            </a:pathLst>
          </a:custGeom>
          <a:noFill/>
          <a:ln>
            <a:solidFill>
              <a:srgbClr val="F654A1"/>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p>
        </xdr:txBody>
      </xdr:sp>
      <xdr:sp macro="" textlink="">
        <xdr:nvSpPr>
          <xdr:cNvPr id="96" name="Forma libre 95">
            <a:extLst>
              <a:ext uri="{FF2B5EF4-FFF2-40B4-BE49-F238E27FC236}">
                <a16:creationId xmlns:a16="http://schemas.microsoft.com/office/drawing/2014/main" id="{00000000-0008-0000-0100-000060000000}"/>
              </a:ext>
            </a:extLst>
          </xdr:cNvPr>
          <xdr:cNvSpPr/>
        </xdr:nvSpPr>
        <xdr:spPr>
          <a:xfrm>
            <a:off x="5867163" y="3298550"/>
            <a:ext cx="1935843" cy="2970548"/>
          </a:xfrm>
          <a:custGeom>
            <a:avLst/>
            <a:gdLst>
              <a:gd name="connsiteX0" fmla="*/ 0 w 1540933"/>
              <a:gd name="connsiteY0" fmla="*/ 0 h 1202267"/>
              <a:gd name="connsiteX1" fmla="*/ 0 w 1540933"/>
              <a:gd name="connsiteY1" fmla="*/ 1202267 h 1202267"/>
              <a:gd name="connsiteX2" fmla="*/ 1540933 w 1540933"/>
              <a:gd name="connsiteY2" fmla="*/ 1202267 h 1202267"/>
            </a:gdLst>
            <a:ahLst/>
            <a:cxnLst>
              <a:cxn ang="0">
                <a:pos x="connsiteX0" y="connsiteY0"/>
              </a:cxn>
              <a:cxn ang="0">
                <a:pos x="connsiteX1" y="connsiteY1"/>
              </a:cxn>
              <a:cxn ang="0">
                <a:pos x="connsiteX2" y="connsiteY2"/>
              </a:cxn>
            </a:cxnLst>
            <a:rect l="l" t="t" r="r" b="b"/>
            <a:pathLst>
              <a:path w="1540933" h="1202267">
                <a:moveTo>
                  <a:pt x="0" y="0"/>
                </a:moveTo>
                <a:lnTo>
                  <a:pt x="0" y="1202267"/>
                </a:lnTo>
                <a:lnTo>
                  <a:pt x="1540933" y="1202267"/>
                </a:lnTo>
              </a:path>
            </a:pathLst>
          </a:custGeom>
          <a:noFill/>
          <a:ln>
            <a:solidFill>
              <a:srgbClr val="F654A1"/>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p>
        </xdr:txBody>
      </xdr:sp>
      <xdr:sp macro="" textlink="">
        <xdr:nvSpPr>
          <xdr:cNvPr id="97" name="Forma libre 96">
            <a:extLst>
              <a:ext uri="{FF2B5EF4-FFF2-40B4-BE49-F238E27FC236}">
                <a16:creationId xmlns:a16="http://schemas.microsoft.com/office/drawing/2014/main" id="{00000000-0008-0000-0100-000061000000}"/>
              </a:ext>
            </a:extLst>
          </xdr:cNvPr>
          <xdr:cNvSpPr/>
        </xdr:nvSpPr>
        <xdr:spPr>
          <a:xfrm>
            <a:off x="8184005" y="2494217"/>
            <a:ext cx="2075379" cy="3774882"/>
          </a:xfrm>
          <a:custGeom>
            <a:avLst/>
            <a:gdLst>
              <a:gd name="connsiteX0" fmla="*/ 0 w 1540933"/>
              <a:gd name="connsiteY0" fmla="*/ 0 h 1202267"/>
              <a:gd name="connsiteX1" fmla="*/ 0 w 1540933"/>
              <a:gd name="connsiteY1" fmla="*/ 1202267 h 1202267"/>
              <a:gd name="connsiteX2" fmla="*/ 1540933 w 1540933"/>
              <a:gd name="connsiteY2" fmla="*/ 1202267 h 1202267"/>
            </a:gdLst>
            <a:ahLst/>
            <a:cxnLst>
              <a:cxn ang="0">
                <a:pos x="connsiteX0" y="connsiteY0"/>
              </a:cxn>
              <a:cxn ang="0">
                <a:pos x="connsiteX1" y="connsiteY1"/>
              </a:cxn>
              <a:cxn ang="0">
                <a:pos x="connsiteX2" y="connsiteY2"/>
              </a:cxn>
            </a:cxnLst>
            <a:rect l="l" t="t" r="r" b="b"/>
            <a:pathLst>
              <a:path w="1540933" h="1202267">
                <a:moveTo>
                  <a:pt x="0" y="0"/>
                </a:moveTo>
                <a:lnTo>
                  <a:pt x="0" y="1202267"/>
                </a:lnTo>
                <a:lnTo>
                  <a:pt x="1540933" y="1202267"/>
                </a:lnTo>
              </a:path>
            </a:pathLst>
          </a:custGeom>
          <a:noFill/>
          <a:ln>
            <a:solidFill>
              <a:srgbClr val="F654A1"/>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p>
        </xdr:txBody>
      </xdr:sp>
      <xdr:sp macro="" textlink="">
        <xdr:nvSpPr>
          <xdr:cNvPr id="98" name="Forma libre 97">
            <a:extLst>
              <a:ext uri="{FF2B5EF4-FFF2-40B4-BE49-F238E27FC236}">
                <a16:creationId xmlns:a16="http://schemas.microsoft.com/office/drawing/2014/main" id="{00000000-0008-0000-0100-000062000000}"/>
              </a:ext>
            </a:extLst>
          </xdr:cNvPr>
          <xdr:cNvSpPr/>
        </xdr:nvSpPr>
        <xdr:spPr>
          <a:xfrm>
            <a:off x="10488668" y="1689883"/>
            <a:ext cx="1926167" cy="4579214"/>
          </a:xfrm>
          <a:custGeom>
            <a:avLst/>
            <a:gdLst>
              <a:gd name="connsiteX0" fmla="*/ 0 w 1540933"/>
              <a:gd name="connsiteY0" fmla="*/ 0 h 1202267"/>
              <a:gd name="connsiteX1" fmla="*/ 0 w 1540933"/>
              <a:gd name="connsiteY1" fmla="*/ 1202267 h 1202267"/>
              <a:gd name="connsiteX2" fmla="*/ 1540933 w 1540933"/>
              <a:gd name="connsiteY2" fmla="*/ 1202267 h 1202267"/>
            </a:gdLst>
            <a:ahLst/>
            <a:cxnLst>
              <a:cxn ang="0">
                <a:pos x="connsiteX0" y="connsiteY0"/>
              </a:cxn>
              <a:cxn ang="0">
                <a:pos x="connsiteX1" y="connsiteY1"/>
              </a:cxn>
              <a:cxn ang="0">
                <a:pos x="connsiteX2" y="connsiteY2"/>
              </a:cxn>
            </a:cxnLst>
            <a:rect l="l" t="t" r="r" b="b"/>
            <a:pathLst>
              <a:path w="1540933" h="1202267">
                <a:moveTo>
                  <a:pt x="0" y="0"/>
                </a:moveTo>
                <a:lnTo>
                  <a:pt x="0" y="1202267"/>
                </a:lnTo>
                <a:lnTo>
                  <a:pt x="1540933" y="1202267"/>
                </a:lnTo>
              </a:path>
            </a:pathLst>
          </a:custGeom>
          <a:noFill/>
          <a:ln>
            <a:solidFill>
              <a:srgbClr val="F654A1"/>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p>
        </xdr:txBody>
      </xdr:sp>
      <xdr:sp macro="" textlink="">
        <xdr:nvSpPr>
          <xdr:cNvPr id="99" name="CuadroTexto 21">
            <a:extLst>
              <a:ext uri="{FF2B5EF4-FFF2-40B4-BE49-F238E27FC236}">
                <a16:creationId xmlns:a16="http://schemas.microsoft.com/office/drawing/2014/main" id="{00000000-0008-0000-0100-000063000000}"/>
              </a:ext>
            </a:extLst>
          </xdr:cNvPr>
          <xdr:cNvSpPr txBox="1"/>
        </xdr:nvSpPr>
        <xdr:spPr>
          <a:xfrm>
            <a:off x="3440531" y="4259812"/>
            <a:ext cx="2504800" cy="1844533"/>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pPr marL="225425" indent="-225425">
              <a:buClr>
                <a:schemeClr val="accent5"/>
              </a:buClr>
              <a:buFont typeface="Arial" panose="020B0604020202020204" pitchFamily="34" charset="0"/>
              <a:buChar char="•"/>
              <a:defRPr/>
            </a:pPr>
            <a:r>
              <a:rPr lang="es-CO" sz="1400">
                <a:solidFill>
                  <a:schemeClr val="tx1">
                    <a:lumMod val="75000"/>
                    <a:lumOff val="25000"/>
                  </a:schemeClr>
                </a:solidFill>
              </a:rPr>
              <a:t>Proceso emergente</a:t>
            </a:r>
          </a:p>
          <a:p>
            <a:pPr marL="225425" indent="-225425">
              <a:buClr>
                <a:schemeClr val="accent5"/>
              </a:buClr>
              <a:buFont typeface="Arial" panose="020B0604020202020204" pitchFamily="34" charset="0"/>
              <a:buChar char="•"/>
              <a:defRPr/>
            </a:pPr>
            <a:r>
              <a:rPr lang="es-CO" sz="1400">
                <a:solidFill>
                  <a:schemeClr val="tx1">
                    <a:lumMod val="75000"/>
                    <a:lumOff val="25000"/>
                  </a:schemeClr>
                </a:solidFill>
              </a:rPr>
              <a:t>Introducción a un conjunto de herramientas consistente</a:t>
            </a:r>
          </a:p>
          <a:p>
            <a:pPr marL="225425" indent="-225425">
              <a:buClr>
                <a:schemeClr val="accent5"/>
              </a:buClr>
              <a:buFont typeface="Arial" panose="020B0604020202020204" pitchFamily="34" charset="0"/>
              <a:buChar char="•"/>
              <a:defRPr/>
            </a:pPr>
            <a:r>
              <a:rPr lang="es-CO" sz="1400">
                <a:solidFill>
                  <a:schemeClr val="tx1">
                    <a:lumMod val="75000"/>
                    <a:lumOff val="25000"/>
                  </a:schemeClr>
                </a:solidFill>
              </a:rPr>
              <a:t>Algunos roles y procesos definidos</a:t>
            </a:r>
          </a:p>
          <a:p>
            <a:pPr marL="225425" indent="-225425">
              <a:buClr>
                <a:schemeClr val="accent5"/>
              </a:buClr>
              <a:buFont typeface="Arial" panose="020B0604020202020204" pitchFamily="34" charset="0"/>
              <a:buChar char="•"/>
              <a:defRPr/>
            </a:pPr>
            <a:r>
              <a:rPr lang="es-CO" sz="1400">
                <a:solidFill>
                  <a:schemeClr val="tx1">
                    <a:lumMod val="75000"/>
                    <a:lumOff val="25000"/>
                  </a:schemeClr>
                </a:solidFill>
              </a:rPr>
              <a:t>Conciencia organizacional del impacto del proceso</a:t>
            </a:r>
          </a:p>
        </xdr:txBody>
      </xdr:sp>
      <xdr:sp macro="" textlink="">
        <xdr:nvSpPr>
          <xdr:cNvPr id="100" name="CuadroTexto 22">
            <a:extLst>
              <a:ext uri="{FF2B5EF4-FFF2-40B4-BE49-F238E27FC236}">
                <a16:creationId xmlns:a16="http://schemas.microsoft.com/office/drawing/2014/main" id="{00000000-0008-0000-0100-000064000000}"/>
              </a:ext>
            </a:extLst>
          </xdr:cNvPr>
          <xdr:cNvSpPr txBox="1"/>
        </xdr:nvSpPr>
        <xdr:spPr>
          <a:xfrm>
            <a:off x="5887100" y="3404905"/>
            <a:ext cx="2075379" cy="1532705"/>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pPr marL="138113" indent="-138113">
              <a:lnSpc>
                <a:spcPct val="100000"/>
              </a:lnSpc>
              <a:buClr>
                <a:srgbClr val="204159"/>
              </a:buClr>
              <a:buFont typeface="Arial" panose="020B0604020202020204" pitchFamily="34" charset="0"/>
              <a:buChar char="•"/>
            </a:pPr>
            <a:r>
              <a:rPr lang="es-CO" sz="1400">
                <a:solidFill>
                  <a:schemeClr val="tx1">
                    <a:lumMod val="75000"/>
                    <a:lumOff val="25000"/>
                  </a:schemeClr>
                </a:solidFill>
                <a:latin typeface="+mn-lt"/>
              </a:rPr>
              <a:t>El proceso es visto como un habilitador de la organización</a:t>
            </a:r>
          </a:p>
          <a:p>
            <a:pPr marL="138113" indent="-138113">
              <a:lnSpc>
                <a:spcPct val="100000"/>
              </a:lnSpc>
              <a:buClr>
                <a:srgbClr val="204159"/>
              </a:buClr>
              <a:buFont typeface="Arial" panose="020B0604020202020204" pitchFamily="34" charset="0"/>
              <a:buChar char="•"/>
            </a:pPr>
            <a:r>
              <a:rPr lang="es-CO" sz="1400">
                <a:solidFill>
                  <a:schemeClr val="tx1">
                    <a:lumMod val="75000"/>
                    <a:lumOff val="25000"/>
                  </a:schemeClr>
                </a:solidFill>
                <a:latin typeface="+mn-lt"/>
              </a:rPr>
              <a:t>Procesos escalables y herramientas</a:t>
            </a:r>
          </a:p>
          <a:p>
            <a:pPr marL="138113" indent="-138113">
              <a:lnSpc>
                <a:spcPct val="100000"/>
              </a:lnSpc>
              <a:buClr>
                <a:srgbClr val="204159"/>
              </a:buClr>
              <a:buFont typeface="Arial" panose="020B0604020202020204" pitchFamily="34" charset="0"/>
              <a:buChar char="•"/>
            </a:pPr>
            <a:r>
              <a:rPr lang="es-CO" sz="1400">
                <a:solidFill>
                  <a:schemeClr val="tx1">
                    <a:lumMod val="75000"/>
                    <a:lumOff val="25000"/>
                  </a:schemeClr>
                </a:solidFill>
                <a:latin typeface="+mn-lt"/>
              </a:rPr>
              <a:t>Reducción en los procesos manuales</a:t>
            </a:r>
          </a:p>
        </xdr:txBody>
      </xdr:sp>
      <xdr:sp macro="" textlink="">
        <xdr:nvSpPr>
          <xdr:cNvPr id="101" name="CuadroTexto 23">
            <a:extLst>
              <a:ext uri="{FF2B5EF4-FFF2-40B4-BE49-F238E27FC236}">
                <a16:creationId xmlns:a16="http://schemas.microsoft.com/office/drawing/2014/main" id="{00000000-0008-0000-0100-000065000000}"/>
              </a:ext>
            </a:extLst>
          </xdr:cNvPr>
          <xdr:cNvSpPr txBox="1"/>
        </xdr:nvSpPr>
        <xdr:spPr>
          <a:xfrm>
            <a:off x="8196472" y="2582454"/>
            <a:ext cx="1951884" cy="1739682"/>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pPr marL="138113" indent="-138113">
              <a:lnSpc>
                <a:spcPct val="100000"/>
              </a:lnSpc>
              <a:buClr>
                <a:schemeClr val="bg1">
                  <a:lumMod val="75000"/>
                </a:schemeClr>
              </a:buClr>
              <a:buFont typeface="Arial" panose="020B0604020202020204" pitchFamily="34" charset="0"/>
              <a:buChar char="•"/>
            </a:pPr>
            <a:r>
              <a:rPr lang="es-CO" sz="1400">
                <a:solidFill>
                  <a:schemeClr val="tx1">
                    <a:lumMod val="75000"/>
                    <a:lumOff val="25000"/>
                  </a:schemeClr>
                </a:solidFill>
                <a:latin typeface="+mn-lt"/>
              </a:rPr>
              <a:t>Planeación y gobierno centralizado</a:t>
            </a:r>
          </a:p>
          <a:p>
            <a:pPr marL="138113" indent="-138113">
              <a:lnSpc>
                <a:spcPct val="100000"/>
              </a:lnSpc>
              <a:buClr>
                <a:schemeClr val="bg1">
                  <a:lumMod val="75000"/>
                </a:schemeClr>
              </a:buClr>
              <a:buFont typeface="Arial" panose="020B0604020202020204" pitchFamily="34" charset="0"/>
              <a:buChar char="•"/>
            </a:pPr>
            <a:r>
              <a:rPr lang="es-CO" sz="1400">
                <a:solidFill>
                  <a:schemeClr val="tx1">
                    <a:lumMod val="75000"/>
                    <a:lumOff val="25000"/>
                  </a:schemeClr>
                </a:solidFill>
                <a:latin typeface="+mn-lt"/>
              </a:rPr>
              <a:t>Gestión de riesgos</a:t>
            </a:r>
          </a:p>
          <a:p>
            <a:pPr marL="138113" indent="-138113">
              <a:lnSpc>
                <a:spcPct val="100000"/>
              </a:lnSpc>
              <a:buClr>
                <a:schemeClr val="bg1">
                  <a:lumMod val="75000"/>
                </a:schemeClr>
              </a:buClr>
              <a:buFont typeface="Arial" panose="020B0604020202020204" pitchFamily="34" charset="0"/>
              <a:buChar char="•"/>
            </a:pPr>
            <a:r>
              <a:rPr lang="es-CO" sz="1400">
                <a:solidFill>
                  <a:schemeClr val="tx1">
                    <a:lumMod val="75000"/>
                    <a:lumOff val="25000"/>
                  </a:schemeClr>
                </a:solidFill>
                <a:latin typeface="+mn-lt"/>
              </a:rPr>
              <a:t>Métricas de ejecución para el seguimiento y evaluación</a:t>
            </a:r>
          </a:p>
        </xdr:txBody>
      </xdr:sp>
      <xdr:sp macro="" textlink="">
        <xdr:nvSpPr>
          <xdr:cNvPr id="102" name="CuadroTexto 24">
            <a:extLst>
              <a:ext uri="{FF2B5EF4-FFF2-40B4-BE49-F238E27FC236}">
                <a16:creationId xmlns:a16="http://schemas.microsoft.com/office/drawing/2014/main" id="{00000000-0008-0000-0100-000066000000}"/>
              </a:ext>
            </a:extLst>
          </xdr:cNvPr>
          <xdr:cNvSpPr txBox="1"/>
        </xdr:nvSpPr>
        <xdr:spPr>
          <a:xfrm>
            <a:off x="10540158" y="1815434"/>
            <a:ext cx="2325367" cy="1532704"/>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pPr marL="190500" indent="-190500">
              <a:lnSpc>
                <a:spcPct val="100000"/>
              </a:lnSpc>
              <a:buClr>
                <a:srgbClr val="C0195E"/>
              </a:buClr>
              <a:buFont typeface="Arial" panose="020B0604020202020204" pitchFamily="34" charset="0"/>
              <a:buChar char="•"/>
            </a:pPr>
            <a:r>
              <a:rPr lang="es-CO" sz="1400">
                <a:solidFill>
                  <a:schemeClr val="tx1">
                    <a:lumMod val="75000"/>
                    <a:lumOff val="25000"/>
                  </a:schemeClr>
                </a:solidFill>
                <a:latin typeface="+mn-lt"/>
              </a:rPr>
              <a:t>Procesos altamente predecibles</a:t>
            </a:r>
          </a:p>
          <a:p>
            <a:pPr marL="190500" indent="-190500">
              <a:lnSpc>
                <a:spcPct val="100000"/>
              </a:lnSpc>
              <a:buClr>
                <a:srgbClr val="C0195E"/>
              </a:buClr>
              <a:buFont typeface="Arial" panose="020B0604020202020204" pitchFamily="34" charset="0"/>
              <a:buChar char="•"/>
            </a:pPr>
            <a:r>
              <a:rPr lang="es-CO" sz="1400">
                <a:solidFill>
                  <a:schemeClr val="tx1">
                    <a:lumMod val="75000"/>
                    <a:lumOff val="25000"/>
                  </a:schemeClr>
                </a:solidFill>
                <a:latin typeface="+mn-lt"/>
              </a:rPr>
              <a:t>Reducción del riesgo</a:t>
            </a:r>
          </a:p>
          <a:p>
            <a:pPr marL="190500" indent="-190500">
              <a:lnSpc>
                <a:spcPct val="100000"/>
              </a:lnSpc>
              <a:buClr>
                <a:srgbClr val="C0195E"/>
              </a:buClr>
              <a:buFont typeface="Arial" panose="020B0604020202020204" pitchFamily="34" charset="0"/>
              <a:buChar char="•"/>
            </a:pPr>
            <a:r>
              <a:rPr lang="es-CO" sz="1400">
                <a:solidFill>
                  <a:schemeClr val="tx1">
                    <a:lumMod val="75000"/>
                    <a:lumOff val="25000"/>
                  </a:schemeClr>
                </a:solidFill>
                <a:latin typeface="+mn-lt"/>
              </a:rPr>
              <a:t>Buen entendimiento de las métricas de seguimiento y mejora continua del proceso.</a:t>
            </a:r>
          </a:p>
        </xdr:txBody>
      </xdr:sp>
      <xdr:sp macro="" textlink="">
        <xdr:nvSpPr>
          <xdr:cNvPr id="103" name="Flecha curva 102">
            <a:extLst>
              <a:ext uri="{FF2B5EF4-FFF2-40B4-BE49-F238E27FC236}">
                <a16:creationId xmlns:a16="http://schemas.microsoft.com/office/drawing/2014/main" id="{00000000-0008-0000-0100-000067000000}"/>
              </a:ext>
            </a:extLst>
          </xdr:cNvPr>
          <xdr:cNvSpPr/>
        </xdr:nvSpPr>
        <xdr:spPr>
          <a:xfrm>
            <a:off x="1898007" y="3593032"/>
            <a:ext cx="1209259" cy="610640"/>
          </a:xfrm>
          <a:prstGeom prst="bentArrow">
            <a:avLst>
              <a:gd name="adj1" fmla="val 13650"/>
              <a:gd name="adj2" fmla="val 25000"/>
              <a:gd name="adj3" fmla="val 32567"/>
              <a:gd name="adj4" fmla="val 43750"/>
            </a:avLst>
          </a:prstGeom>
          <a:solidFill>
            <a:srgbClr val="F654A1"/>
          </a:solidFill>
          <a:ln>
            <a:solidFill>
              <a:srgbClr val="F654A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solidFill>
                <a:schemeClr val="tx1"/>
              </a:solidFill>
            </a:endParaRPr>
          </a:p>
        </xdr:txBody>
      </xdr:sp>
      <xdr:sp macro="" textlink="">
        <xdr:nvSpPr>
          <xdr:cNvPr id="104" name="CuadroTexto 25">
            <a:extLst>
              <a:ext uri="{FF2B5EF4-FFF2-40B4-BE49-F238E27FC236}">
                <a16:creationId xmlns:a16="http://schemas.microsoft.com/office/drawing/2014/main" id="{00000000-0008-0000-0100-000068000000}"/>
              </a:ext>
            </a:extLst>
          </xdr:cNvPr>
          <xdr:cNvSpPr txBox="1"/>
        </xdr:nvSpPr>
        <xdr:spPr>
          <a:xfrm>
            <a:off x="1278066" y="4900215"/>
            <a:ext cx="2222375" cy="1334195"/>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pPr marL="138113" indent="-138113" fontAlgn="t">
              <a:buClr>
                <a:srgbClr val="78C045"/>
              </a:buClr>
              <a:buFont typeface="Arial" panose="020B0604020202020204" pitchFamily="34" charset="0"/>
              <a:buChar char="•"/>
            </a:pPr>
            <a:r>
              <a:rPr lang="es-CO" sz="1400">
                <a:solidFill>
                  <a:schemeClr val="tx1">
                    <a:lumMod val="75000"/>
                    <a:lumOff val="25000"/>
                  </a:schemeClr>
                </a:solidFill>
              </a:rPr>
              <a:t>Poca o ausencia del proceso y su gobernabilidad</a:t>
            </a:r>
          </a:p>
          <a:p>
            <a:pPr marL="138113" indent="-138113" fontAlgn="t">
              <a:buClr>
                <a:srgbClr val="78C045"/>
              </a:buClr>
              <a:buFont typeface="Arial" panose="020B0604020202020204" pitchFamily="34" charset="0"/>
              <a:buChar char="•"/>
            </a:pPr>
            <a:r>
              <a:rPr lang="es-CO" sz="1400">
                <a:solidFill>
                  <a:schemeClr val="tx1">
                    <a:lumMod val="75000"/>
                    <a:lumOff val="25000"/>
                  </a:schemeClr>
                </a:solidFill>
              </a:rPr>
              <a:t>Conjunto limitado de herramientas</a:t>
            </a:r>
          </a:p>
          <a:p>
            <a:pPr marL="138113" indent="-138113" fontAlgn="t">
              <a:buClr>
                <a:srgbClr val="78C045"/>
              </a:buClr>
              <a:buFont typeface="Arial" panose="020B0604020202020204" pitchFamily="34" charset="0"/>
              <a:buChar char="•"/>
            </a:pPr>
            <a:r>
              <a:rPr lang="es-CO" sz="1400">
                <a:solidFill>
                  <a:schemeClr val="tx1">
                    <a:lumMod val="75000"/>
                    <a:lumOff val="25000"/>
                  </a:schemeClr>
                </a:solidFill>
              </a:rPr>
              <a:t>Roles definidos en silos</a:t>
            </a:r>
          </a:p>
        </xdr:txBody>
      </xdr:sp>
      <xdr:sp macro="" textlink="">
        <xdr:nvSpPr>
          <xdr:cNvPr id="105" name="Flecha curva 104">
            <a:extLst>
              <a:ext uri="{FF2B5EF4-FFF2-40B4-BE49-F238E27FC236}">
                <a16:creationId xmlns:a16="http://schemas.microsoft.com/office/drawing/2014/main" id="{00000000-0008-0000-0100-000069000000}"/>
              </a:ext>
            </a:extLst>
          </xdr:cNvPr>
          <xdr:cNvSpPr/>
        </xdr:nvSpPr>
        <xdr:spPr>
          <a:xfrm>
            <a:off x="4212134" y="2794266"/>
            <a:ext cx="1209259" cy="610640"/>
          </a:xfrm>
          <a:prstGeom prst="bentArrow">
            <a:avLst>
              <a:gd name="adj1" fmla="val 13650"/>
              <a:gd name="adj2" fmla="val 25000"/>
              <a:gd name="adj3" fmla="val 32567"/>
              <a:gd name="adj4" fmla="val 43750"/>
            </a:avLst>
          </a:prstGeom>
          <a:solidFill>
            <a:srgbClr val="F654A1"/>
          </a:solidFill>
          <a:ln>
            <a:solidFill>
              <a:srgbClr val="F654A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solidFill>
                <a:schemeClr val="tx1"/>
              </a:solidFill>
            </a:endParaRPr>
          </a:p>
        </xdr:txBody>
      </xdr:sp>
      <xdr:sp macro="" textlink="">
        <xdr:nvSpPr>
          <xdr:cNvPr id="106" name="Flecha curva 105">
            <a:extLst>
              <a:ext uri="{FF2B5EF4-FFF2-40B4-BE49-F238E27FC236}">
                <a16:creationId xmlns:a16="http://schemas.microsoft.com/office/drawing/2014/main" id="{00000000-0008-0000-0100-00006A000000}"/>
              </a:ext>
            </a:extLst>
          </xdr:cNvPr>
          <xdr:cNvSpPr/>
        </xdr:nvSpPr>
        <xdr:spPr>
          <a:xfrm>
            <a:off x="6522018" y="2006198"/>
            <a:ext cx="1218935" cy="610640"/>
          </a:xfrm>
          <a:prstGeom prst="bentArrow">
            <a:avLst>
              <a:gd name="adj1" fmla="val 13650"/>
              <a:gd name="adj2" fmla="val 25000"/>
              <a:gd name="adj3" fmla="val 32567"/>
              <a:gd name="adj4" fmla="val 43750"/>
            </a:avLst>
          </a:prstGeom>
          <a:solidFill>
            <a:srgbClr val="F654A1"/>
          </a:solidFill>
          <a:ln>
            <a:solidFill>
              <a:srgbClr val="F654A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solidFill>
                <a:schemeClr val="tx1"/>
              </a:solidFill>
            </a:endParaRPr>
          </a:p>
        </xdr:txBody>
      </xdr:sp>
      <xdr:sp macro="" textlink="">
        <xdr:nvSpPr>
          <xdr:cNvPr id="107" name="Flecha curva 106">
            <a:extLst>
              <a:ext uri="{FF2B5EF4-FFF2-40B4-BE49-F238E27FC236}">
                <a16:creationId xmlns:a16="http://schemas.microsoft.com/office/drawing/2014/main" id="{00000000-0008-0000-0100-00006B000000}"/>
              </a:ext>
            </a:extLst>
          </xdr:cNvPr>
          <xdr:cNvSpPr/>
        </xdr:nvSpPr>
        <xdr:spPr>
          <a:xfrm>
            <a:off x="8862238" y="1179871"/>
            <a:ext cx="1209259" cy="610640"/>
          </a:xfrm>
          <a:prstGeom prst="bentArrow">
            <a:avLst>
              <a:gd name="adj1" fmla="val 13650"/>
              <a:gd name="adj2" fmla="val 25000"/>
              <a:gd name="adj3" fmla="val 32567"/>
              <a:gd name="adj4" fmla="val 43750"/>
            </a:avLst>
          </a:prstGeom>
          <a:solidFill>
            <a:srgbClr val="F654A1"/>
          </a:solidFill>
          <a:ln>
            <a:solidFill>
              <a:srgbClr val="F654A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solidFill>
                <a:schemeClr val="tx1"/>
              </a:solidFill>
            </a:endParaRPr>
          </a:p>
        </xdr:txBody>
      </xdr:sp>
      <xdr:grpSp>
        <xdr:nvGrpSpPr>
          <xdr:cNvPr id="108" name="Grupo 107">
            <a:extLst>
              <a:ext uri="{FF2B5EF4-FFF2-40B4-BE49-F238E27FC236}">
                <a16:creationId xmlns:a16="http://schemas.microsoft.com/office/drawing/2014/main" id="{00000000-0008-0000-0100-00006C000000}"/>
              </a:ext>
            </a:extLst>
          </xdr:cNvPr>
          <xdr:cNvGrpSpPr/>
        </xdr:nvGrpSpPr>
        <xdr:grpSpPr>
          <a:xfrm>
            <a:off x="838200" y="4190768"/>
            <a:ext cx="2269066" cy="668866"/>
            <a:chOff x="69540" y="4408206"/>
            <a:chExt cx="2269066" cy="694266"/>
          </a:xfrm>
        </xdr:grpSpPr>
        <xdr:sp macro="" textlink="">
          <xdr:nvSpPr>
            <xdr:cNvPr id="121" name="Rectángulo redondeado 120">
              <a:extLst>
                <a:ext uri="{FF2B5EF4-FFF2-40B4-BE49-F238E27FC236}">
                  <a16:creationId xmlns:a16="http://schemas.microsoft.com/office/drawing/2014/main" id="{00000000-0008-0000-0100-000079000000}"/>
                </a:ext>
              </a:extLst>
            </xdr:cNvPr>
            <xdr:cNvSpPr/>
          </xdr:nvSpPr>
          <xdr:spPr>
            <a:xfrm>
              <a:off x="69540" y="4412961"/>
              <a:ext cx="2269066" cy="677334"/>
            </a:xfrm>
            <a:prstGeom prst="roundRect">
              <a:avLst/>
            </a:prstGeom>
            <a:solidFill>
              <a:srgbClr val="FFFFFF"/>
            </a:solidFill>
            <a:ln w="28575">
              <a:solidFill>
                <a:srgbClr val="3266CA"/>
              </a:solidFill>
            </a:ln>
            <a:effectLst>
              <a:outerShdw dist="50800" dir="2700000" algn="tl" rotWithShape="0">
                <a:srgbClr val="3266CA"/>
              </a:outerShdw>
            </a:effectLst>
          </xdr:spPr>
          <xdr:style>
            <a:lnRef idx="3">
              <a:schemeClr val="lt1"/>
            </a:lnRef>
            <a:fillRef idx="1">
              <a:schemeClr val="accent5"/>
            </a:fillRef>
            <a:effectRef idx="1">
              <a:schemeClr val="accent5"/>
            </a:effectRef>
            <a:fontRef idx="minor">
              <a:schemeClr val="lt1"/>
            </a:fontRef>
          </xdr:style>
          <xdr:txBody>
            <a:bodyPr wrap="square" lIns="648000" r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spcBef>
                  <a:spcPts val="1800"/>
                </a:spcBef>
              </a:pPr>
              <a:r>
                <a:rPr lang="es-ES_tradnl" sz="2000">
                  <a:solidFill>
                    <a:schemeClr val="tx1">
                      <a:lumMod val="75000"/>
                      <a:lumOff val="25000"/>
                    </a:schemeClr>
                  </a:solidFill>
                  <a:latin typeface="Arial" panose="020B0604020202020204" pitchFamily="34" charset="0"/>
                  <a:cs typeface="Arial" panose="020B0604020202020204" pitchFamily="34" charset="0"/>
                </a:rPr>
                <a:t>Inicial</a:t>
              </a:r>
            </a:p>
          </xdr:txBody>
        </xdr:sp>
        <xdr:sp macro="" textlink="">
          <xdr:nvSpPr>
            <xdr:cNvPr id="122" name="Redondear rectángulo de esquina del mismo lado 121">
              <a:extLst>
                <a:ext uri="{FF2B5EF4-FFF2-40B4-BE49-F238E27FC236}">
                  <a16:creationId xmlns:a16="http://schemas.microsoft.com/office/drawing/2014/main" id="{00000000-0008-0000-0100-00007A000000}"/>
                </a:ext>
              </a:extLst>
            </xdr:cNvPr>
            <xdr:cNvSpPr/>
          </xdr:nvSpPr>
          <xdr:spPr>
            <a:xfrm rot="16200000">
              <a:off x="33162" y="4449339"/>
              <a:ext cx="694266" cy="612000"/>
            </a:xfrm>
            <a:prstGeom prst="round2SameRect">
              <a:avLst>
                <a:gd name="adj1" fmla="val 11721"/>
                <a:gd name="adj2" fmla="val 0"/>
              </a:avLst>
            </a:prstGeom>
            <a:solidFill>
              <a:srgbClr val="3266CA"/>
            </a:solidFill>
            <a:ln w="28575">
              <a:noFill/>
            </a:ln>
            <a:effectLst/>
          </xdr:spPr>
          <xdr:style>
            <a:lnRef idx="3">
              <a:schemeClr val="lt1"/>
            </a:lnRef>
            <a:fillRef idx="1">
              <a:schemeClr val="accent5"/>
            </a:fillRef>
            <a:effectRef idx="1">
              <a:schemeClr val="accent5"/>
            </a:effectRef>
            <a:fontRef idx="minor">
              <a:schemeClr val="lt1"/>
            </a:fontRef>
          </xdr:style>
          <xdr:txBody>
            <a:bodyPr vert="vert" wrap="square" lIns="0" tIns="0" rIns="0" b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es-ES_tradnl" sz="1400">
                  <a:solidFill>
                    <a:srgbClr val="FFFFFF"/>
                  </a:solidFill>
                </a:rPr>
                <a:t>NIVEL</a:t>
              </a:r>
            </a:p>
            <a:p>
              <a:pPr algn="ctr"/>
              <a:r>
                <a:rPr lang="es-ES_tradnl" sz="2000">
                  <a:solidFill>
                    <a:srgbClr val="FFFFFF"/>
                  </a:solidFill>
                  <a:latin typeface="+mj-lt"/>
                </a:rPr>
                <a:t>01</a:t>
              </a:r>
            </a:p>
          </xdr:txBody>
        </xdr:sp>
      </xdr:grpSp>
      <xdr:grpSp>
        <xdr:nvGrpSpPr>
          <xdr:cNvPr id="109" name="Grupo 108">
            <a:extLst>
              <a:ext uri="{FF2B5EF4-FFF2-40B4-BE49-F238E27FC236}">
                <a16:creationId xmlns:a16="http://schemas.microsoft.com/office/drawing/2014/main" id="{00000000-0008-0000-0100-00006D000000}"/>
              </a:ext>
            </a:extLst>
          </xdr:cNvPr>
          <xdr:cNvGrpSpPr/>
        </xdr:nvGrpSpPr>
        <xdr:grpSpPr>
          <a:xfrm>
            <a:off x="3206038" y="3380551"/>
            <a:ext cx="2278743" cy="668866"/>
            <a:chOff x="69540" y="4408206"/>
            <a:chExt cx="2269066" cy="694266"/>
          </a:xfrm>
        </xdr:grpSpPr>
        <xdr:sp macro="" textlink="">
          <xdr:nvSpPr>
            <xdr:cNvPr id="119" name="Rectángulo redondeado 118">
              <a:extLst>
                <a:ext uri="{FF2B5EF4-FFF2-40B4-BE49-F238E27FC236}">
                  <a16:creationId xmlns:a16="http://schemas.microsoft.com/office/drawing/2014/main" id="{00000000-0008-0000-0100-000077000000}"/>
                </a:ext>
              </a:extLst>
            </xdr:cNvPr>
            <xdr:cNvSpPr/>
          </xdr:nvSpPr>
          <xdr:spPr>
            <a:xfrm>
              <a:off x="69540" y="4412961"/>
              <a:ext cx="2269066" cy="677334"/>
            </a:xfrm>
            <a:prstGeom prst="roundRect">
              <a:avLst/>
            </a:prstGeom>
            <a:solidFill>
              <a:srgbClr val="FFFFFF"/>
            </a:solidFill>
            <a:ln w="28575">
              <a:solidFill>
                <a:srgbClr val="3266CA"/>
              </a:solidFill>
            </a:ln>
            <a:effectLst>
              <a:outerShdw dist="50800" dir="2700000" algn="tl" rotWithShape="0">
                <a:srgbClr val="3266CA"/>
              </a:outerShdw>
            </a:effectLst>
          </xdr:spPr>
          <xdr:style>
            <a:lnRef idx="3">
              <a:schemeClr val="lt1"/>
            </a:lnRef>
            <a:fillRef idx="1">
              <a:schemeClr val="accent5"/>
            </a:fillRef>
            <a:effectRef idx="1">
              <a:schemeClr val="accent5"/>
            </a:effectRef>
            <a:fontRef idx="minor">
              <a:schemeClr val="lt1"/>
            </a:fontRef>
          </xdr:style>
          <xdr:txBody>
            <a:bodyPr wrap="square" lIns="648000" r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spcBef>
                  <a:spcPts val="1800"/>
                </a:spcBef>
              </a:pPr>
              <a:r>
                <a:rPr lang="es-ES_tradnl" sz="2000">
                  <a:solidFill>
                    <a:schemeClr val="tx1">
                      <a:lumMod val="75000"/>
                      <a:lumOff val="25000"/>
                    </a:schemeClr>
                  </a:solidFill>
                  <a:latin typeface="Arial" panose="020B0604020202020204" pitchFamily="34" charset="0"/>
                  <a:cs typeface="Arial" panose="020B0604020202020204" pitchFamily="34" charset="0"/>
                </a:rPr>
                <a:t>Repetible</a:t>
              </a:r>
            </a:p>
          </xdr:txBody>
        </xdr:sp>
        <xdr:sp macro="" textlink="">
          <xdr:nvSpPr>
            <xdr:cNvPr id="120" name="Redondear rectángulo de esquina del mismo lado 119">
              <a:extLst>
                <a:ext uri="{FF2B5EF4-FFF2-40B4-BE49-F238E27FC236}">
                  <a16:creationId xmlns:a16="http://schemas.microsoft.com/office/drawing/2014/main" id="{00000000-0008-0000-0100-000078000000}"/>
                </a:ext>
              </a:extLst>
            </xdr:cNvPr>
            <xdr:cNvSpPr/>
          </xdr:nvSpPr>
          <xdr:spPr>
            <a:xfrm rot="16200000">
              <a:off x="33162" y="4449339"/>
              <a:ext cx="694266" cy="612000"/>
            </a:xfrm>
            <a:prstGeom prst="round2SameRect">
              <a:avLst>
                <a:gd name="adj1" fmla="val 11721"/>
                <a:gd name="adj2" fmla="val 0"/>
              </a:avLst>
            </a:prstGeom>
            <a:solidFill>
              <a:srgbClr val="3266CA"/>
            </a:solidFill>
            <a:ln w="28575">
              <a:noFill/>
            </a:ln>
            <a:effectLst/>
          </xdr:spPr>
          <xdr:style>
            <a:lnRef idx="3">
              <a:schemeClr val="lt1"/>
            </a:lnRef>
            <a:fillRef idx="1">
              <a:schemeClr val="accent5"/>
            </a:fillRef>
            <a:effectRef idx="1">
              <a:schemeClr val="accent5"/>
            </a:effectRef>
            <a:fontRef idx="minor">
              <a:schemeClr val="lt1"/>
            </a:fontRef>
          </xdr:style>
          <xdr:txBody>
            <a:bodyPr vert="vert" wrap="square" lIns="0" tIns="0" rIns="0" b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es-ES_tradnl" sz="1400">
                  <a:solidFill>
                    <a:srgbClr val="FFFFFF"/>
                  </a:solidFill>
                </a:rPr>
                <a:t>NIVEL</a:t>
              </a:r>
            </a:p>
            <a:p>
              <a:pPr algn="ctr"/>
              <a:r>
                <a:rPr lang="es-ES_tradnl" sz="2000">
                  <a:solidFill>
                    <a:srgbClr val="FFFFFF"/>
                  </a:solidFill>
                  <a:latin typeface="+mj-lt"/>
                </a:rPr>
                <a:t>02</a:t>
              </a:r>
            </a:p>
          </xdr:txBody>
        </xdr:sp>
      </xdr:grpSp>
      <xdr:grpSp>
        <xdr:nvGrpSpPr>
          <xdr:cNvPr id="110" name="Grupo 109">
            <a:extLst>
              <a:ext uri="{FF2B5EF4-FFF2-40B4-BE49-F238E27FC236}">
                <a16:creationId xmlns:a16="http://schemas.microsoft.com/office/drawing/2014/main" id="{00000000-0008-0000-0100-00006E000000}"/>
              </a:ext>
            </a:extLst>
          </xdr:cNvPr>
          <xdr:cNvGrpSpPr/>
        </xdr:nvGrpSpPr>
        <xdr:grpSpPr>
          <a:xfrm>
            <a:off x="5484781" y="2627565"/>
            <a:ext cx="2278742" cy="660399"/>
            <a:chOff x="69540" y="4408206"/>
            <a:chExt cx="2269066" cy="694266"/>
          </a:xfrm>
        </xdr:grpSpPr>
        <xdr:sp macro="" textlink="">
          <xdr:nvSpPr>
            <xdr:cNvPr id="117" name="Rectángulo redondeado 116">
              <a:extLst>
                <a:ext uri="{FF2B5EF4-FFF2-40B4-BE49-F238E27FC236}">
                  <a16:creationId xmlns:a16="http://schemas.microsoft.com/office/drawing/2014/main" id="{00000000-0008-0000-0100-000075000000}"/>
                </a:ext>
              </a:extLst>
            </xdr:cNvPr>
            <xdr:cNvSpPr/>
          </xdr:nvSpPr>
          <xdr:spPr>
            <a:xfrm>
              <a:off x="69540" y="4412961"/>
              <a:ext cx="2269066" cy="677334"/>
            </a:xfrm>
            <a:prstGeom prst="roundRect">
              <a:avLst/>
            </a:prstGeom>
            <a:solidFill>
              <a:srgbClr val="FFFFFF"/>
            </a:solidFill>
            <a:ln w="28575">
              <a:solidFill>
                <a:srgbClr val="3266CA"/>
              </a:solidFill>
            </a:ln>
            <a:effectLst>
              <a:outerShdw dist="50800" dir="2700000" algn="tl" rotWithShape="0">
                <a:srgbClr val="3266CA"/>
              </a:outerShdw>
            </a:effectLst>
          </xdr:spPr>
          <xdr:style>
            <a:lnRef idx="3">
              <a:schemeClr val="lt1"/>
            </a:lnRef>
            <a:fillRef idx="1">
              <a:schemeClr val="accent5"/>
            </a:fillRef>
            <a:effectRef idx="1">
              <a:schemeClr val="accent5"/>
            </a:effectRef>
            <a:fontRef idx="minor">
              <a:schemeClr val="lt1"/>
            </a:fontRef>
          </xdr:style>
          <xdr:txBody>
            <a:bodyPr wrap="square" lIns="648000" r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spcBef>
                  <a:spcPts val="1800"/>
                </a:spcBef>
              </a:pPr>
              <a:r>
                <a:rPr lang="es-ES_tradnl" sz="2000">
                  <a:solidFill>
                    <a:schemeClr val="tx1">
                      <a:lumMod val="75000"/>
                      <a:lumOff val="25000"/>
                    </a:schemeClr>
                  </a:solidFill>
                  <a:latin typeface="Arial" panose="020B0604020202020204" pitchFamily="34" charset="0"/>
                  <a:cs typeface="Arial" panose="020B0604020202020204" pitchFamily="34" charset="0"/>
                </a:rPr>
                <a:t>Definido</a:t>
              </a:r>
            </a:p>
          </xdr:txBody>
        </xdr:sp>
        <xdr:sp macro="" textlink="">
          <xdr:nvSpPr>
            <xdr:cNvPr id="118" name="Redondear rectángulo de esquina del mismo lado 117">
              <a:extLst>
                <a:ext uri="{FF2B5EF4-FFF2-40B4-BE49-F238E27FC236}">
                  <a16:creationId xmlns:a16="http://schemas.microsoft.com/office/drawing/2014/main" id="{00000000-0008-0000-0100-000076000000}"/>
                </a:ext>
              </a:extLst>
            </xdr:cNvPr>
            <xdr:cNvSpPr/>
          </xdr:nvSpPr>
          <xdr:spPr>
            <a:xfrm rot="16200000">
              <a:off x="33162" y="4449339"/>
              <a:ext cx="694266" cy="612000"/>
            </a:xfrm>
            <a:prstGeom prst="round2SameRect">
              <a:avLst>
                <a:gd name="adj1" fmla="val 11721"/>
                <a:gd name="adj2" fmla="val 0"/>
              </a:avLst>
            </a:prstGeom>
            <a:solidFill>
              <a:srgbClr val="3266CA"/>
            </a:solidFill>
            <a:ln w="28575">
              <a:noFill/>
            </a:ln>
            <a:effectLst/>
          </xdr:spPr>
          <xdr:style>
            <a:lnRef idx="3">
              <a:schemeClr val="lt1"/>
            </a:lnRef>
            <a:fillRef idx="1">
              <a:schemeClr val="accent5"/>
            </a:fillRef>
            <a:effectRef idx="1">
              <a:schemeClr val="accent5"/>
            </a:effectRef>
            <a:fontRef idx="minor">
              <a:schemeClr val="lt1"/>
            </a:fontRef>
          </xdr:style>
          <xdr:txBody>
            <a:bodyPr vert="vert" wrap="square" lIns="0" tIns="0" rIns="0" b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es-ES_tradnl" sz="1400">
                  <a:solidFill>
                    <a:srgbClr val="FFFFFF"/>
                  </a:solidFill>
                </a:rPr>
                <a:t>NIVEL</a:t>
              </a:r>
            </a:p>
            <a:p>
              <a:pPr algn="ctr"/>
              <a:r>
                <a:rPr lang="es-ES_tradnl" sz="2000">
                  <a:solidFill>
                    <a:srgbClr val="FFFFFF"/>
                  </a:solidFill>
                  <a:latin typeface="+mj-lt"/>
                </a:rPr>
                <a:t>03</a:t>
              </a:r>
            </a:p>
          </xdr:txBody>
        </xdr:sp>
      </xdr:grpSp>
      <xdr:grpSp>
        <xdr:nvGrpSpPr>
          <xdr:cNvPr id="111" name="Grupo 110">
            <a:extLst>
              <a:ext uri="{FF2B5EF4-FFF2-40B4-BE49-F238E27FC236}">
                <a16:creationId xmlns:a16="http://schemas.microsoft.com/office/drawing/2014/main" id="{00000000-0008-0000-0100-00006F000000}"/>
              </a:ext>
            </a:extLst>
          </xdr:cNvPr>
          <xdr:cNvGrpSpPr/>
        </xdr:nvGrpSpPr>
        <xdr:grpSpPr>
          <a:xfrm>
            <a:off x="7803006" y="1835713"/>
            <a:ext cx="2269066" cy="668866"/>
            <a:chOff x="69540" y="4408206"/>
            <a:chExt cx="2269066" cy="694266"/>
          </a:xfrm>
        </xdr:grpSpPr>
        <xdr:sp macro="" textlink="">
          <xdr:nvSpPr>
            <xdr:cNvPr id="115" name="Rectángulo redondeado 114">
              <a:extLst>
                <a:ext uri="{FF2B5EF4-FFF2-40B4-BE49-F238E27FC236}">
                  <a16:creationId xmlns:a16="http://schemas.microsoft.com/office/drawing/2014/main" id="{00000000-0008-0000-0100-000073000000}"/>
                </a:ext>
              </a:extLst>
            </xdr:cNvPr>
            <xdr:cNvSpPr/>
          </xdr:nvSpPr>
          <xdr:spPr>
            <a:xfrm>
              <a:off x="69540" y="4412961"/>
              <a:ext cx="2269066" cy="677334"/>
            </a:xfrm>
            <a:prstGeom prst="roundRect">
              <a:avLst/>
            </a:prstGeom>
            <a:solidFill>
              <a:srgbClr val="FFFFFF"/>
            </a:solidFill>
            <a:ln w="28575">
              <a:solidFill>
                <a:srgbClr val="3266CA"/>
              </a:solidFill>
            </a:ln>
            <a:effectLst>
              <a:outerShdw dist="50800" dir="2700000" algn="tl" rotWithShape="0">
                <a:srgbClr val="3266CA"/>
              </a:outerShdw>
            </a:effectLst>
          </xdr:spPr>
          <xdr:style>
            <a:lnRef idx="3">
              <a:schemeClr val="lt1"/>
            </a:lnRef>
            <a:fillRef idx="1">
              <a:schemeClr val="accent5"/>
            </a:fillRef>
            <a:effectRef idx="1">
              <a:schemeClr val="accent5"/>
            </a:effectRef>
            <a:fontRef idx="minor">
              <a:schemeClr val="lt1"/>
            </a:fontRef>
          </xdr:style>
          <xdr:txBody>
            <a:bodyPr wrap="square" lIns="648000" r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spcBef>
                  <a:spcPts val="1800"/>
                </a:spcBef>
              </a:pPr>
              <a:r>
                <a:rPr lang="es-ES_tradnl" sz="2000">
                  <a:solidFill>
                    <a:schemeClr val="tx1">
                      <a:lumMod val="75000"/>
                      <a:lumOff val="25000"/>
                    </a:schemeClr>
                  </a:solidFill>
                  <a:latin typeface="Arial" panose="020B0604020202020204" pitchFamily="34" charset="0"/>
                  <a:cs typeface="Arial" panose="020B0604020202020204" pitchFamily="34" charset="0"/>
                </a:rPr>
                <a:t>Gestionado</a:t>
              </a:r>
            </a:p>
          </xdr:txBody>
        </xdr:sp>
        <xdr:sp macro="" textlink="">
          <xdr:nvSpPr>
            <xdr:cNvPr id="116" name="Redondear rectángulo de esquina del mismo lado 115">
              <a:extLst>
                <a:ext uri="{FF2B5EF4-FFF2-40B4-BE49-F238E27FC236}">
                  <a16:creationId xmlns:a16="http://schemas.microsoft.com/office/drawing/2014/main" id="{00000000-0008-0000-0100-000074000000}"/>
                </a:ext>
              </a:extLst>
            </xdr:cNvPr>
            <xdr:cNvSpPr/>
          </xdr:nvSpPr>
          <xdr:spPr>
            <a:xfrm rot="16200000">
              <a:off x="33162" y="4449339"/>
              <a:ext cx="694266" cy="612000"/>
            </a:xfrm>
            <a:prstGeom prst="round2SameRect">
              <a:avLst>
                <a:gd name="adj1" fmla="val 11721"/>
                <a:gd name="adj2" fmla="val 0"/>
              </a:avLst>
            </a:prstGeom>
            <a:solidFill>
              <a:srgbClr val="3266CA"/>
            </a:solidFill>
            <a:ln w="28575">
              <a:noFill/>
            </a:ln>
            <a:effectLst/>
          </xdr:spPr>
          <xdr:style>
            <a:lnRef idx="3">
              <a:schemeClr val="lt1"/>
            </a:lnRef>
            <a:fillRef idx="1">
              <a:schemeClr val="accent5"/>
            </a:fillRef>
            <a:effectRef idx="1">
              <a:schemeClr val="accent5"/>
            </a:effectRef>
            <a:fontRef idx="minor">
              <a:schemeClr val="lt1"/>
            </a:fontRef>
          </xdr:style>
          <xdr:txBody>
            <a:bodyPr vert="vert" wrap="square" lIns="0" tIns="0" rIns="0" b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es-ES_tradnl" sz="1400">
                  <a:solidFill>
                    <a:srgbClr val="FFFFFF"/>
                  </a:solidFill>
                </a:rPr>
                <a:t>NIVEL</a:t>
              </a:r>
            </a:p>
            <a:p>
              <a:pPr algn="ctr"/>
              <a:r>
                <a:rPr lang="es-ES_tradnl" sz="2000">
                  <a:solidFill>
                    <a:srgbClr val="FFFFFF"/>
                  </a:solidFill>
                  <a:latin typeface="+mj-lt"/>
                </a:rPr>
                <a:t>04</a:t>
              </a:r>
            </a:p>
          </xdr:txBody>
        </xdr:sp>
      </xdr:grpSp>
      <xdr:grpSp>
        <xdr:nvGrpSpPr>
          <xdr:cNvPr id="112" name="Grupo 111">
            <a:extLst>
              <a:ext uri="{FF2B5EF4-FFF2-40B4-BE49-F238E27FC236}">
                <a16:creationId xmlns:a16="http://schemas.microsoft.com/office/drawing/2014/main" id="{00000000-0008-0000-0100-000070000000}"/>
              </a:ext>
            </a:extLst>
          </xdr:cNvPr>
          <xdr:cNvGrpSpPr/>
        </xdr:nvGrpSpPr>
        <xdr:grpSpPr>
          <a:xfrm>
            <a:off x="10145073" y="1007830"/>
            <a:ext cx="2278742" cy="660400"/>
            <a:chOff x="69540" y="4408206"/>
            <a:chExt cx="2269066" cy="694266"/>
          </a:xfrm>
        </xdr:grpSpPr>
        <xdr:sp macro="" textlink="">
          <xdr:nvSpPr>
            <xdr:cNvPr id="113" name="Rectángulo redondeado 112">
              <a:extLst>
                <a:ext uri="{FF2B5EF4-FFF2-40B4-BE49-F238E27FC236}">
                  <a16:creationId xmlns:a16="http://schemas.microsoft.com/office/drawing/2014/main" id="{00000000-0008-0000-0100-000071000000}"/>
                </a:ext>
              </a:extLst>
            </xdr:cNvPr>
            <xdr:cNvSpPr/>
          </xdr:nvSpPr>
          <xdr:spPr>
            <a:xfrm>
              <a:off x="69540" y="4412961"/>
              <a:ext cx="2269066" cy="677334"/>
            </a:xfrm>
            <a:prstGeom prst="roundRect">
              <a:avLst/>
            </a:prstGeom>
            <a:solidFill>
              <a:srgbClr val="FFFFFF"/>
            </a:solidFill>
            <a:ln w="28575">
              <a:solidFill>
                <a:srgbClr val="3266CA"/>
              </a:solidFill>
            </a:ln>
            <a:effectLst>
              <a:outerShdw dist="50800" dir="2700000" algn="tl" rotWithShape="0">
                <a:srgbClr val="3266CA"/>
              </a:outerShdw>
            </a:effectLst>
          </xdr:spPr>
          <xdr:style>
            <a:lnRef idx="3">
              <a:schemeClr val="lt1"/>
            </a:lnRef>
            <a:fillRef idx="1">
              <a:schemeClr val="accent5"/>
            </a:fillRef>
            <a:effectRef idx="1">
              <a:schemeClr val="accent5"/>
            </a:effectRef>
            <a:fontRef idx="minor">
              <a:schemeClr val="lt1"/>
            </a:fontRef>
          </xdr:style>
          <xdr:txBody>
            <a:bodyPr wrap="square" lIns="648000" r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spcBef>
                  <a:spcPts val="1800"/>
                </a:spcBef>
              </a:pPr>
              <a:r>
                <a:rPr lang="es-ES_tradnl" sz="2000">
                  <a:solidFill>
                    <a:schemeClr val="tx1">
                      <a:lumMod val="75000"/>
                      <a:lumOff val="25000"/>
                    </a:schemeClr>
                  </a:solidFill>
                  <a:latin typeface="Arial" panose="020B0604020202020204" pitchFamily="34" charset="0"/>
                  <a:cs typeface="Arial" panose="020B0604020202020204" pitchFamily="34" charset="0"/>
                </a:rPr>
                <a:t>Optimizado</a:t>
              </a:r>
            </a:p>
          </xdr:txBody>
        </xdr:sp>
        <xdr:sp macro="" textlink="">
          <xdr:nvSpPr>
            <xdr:cNvPr id="114" name="Redondear rectángulo de esquina del mismo lado 113">
              <a:extLst>
                <a:ext uri="{FF2B5EF4-FFF2-40B4-BE49-F238E27FC236}">
                  <a16:creationId xmlns:a16="http://schemas.microsoft.com/office/drawing/2014/main" id="{00000000-0008-0000-0100-000072000000}"/>
                </a:ext>
              </a:extLst>
            </xdr:cNvPr>
            <xdr:cNvSpPr/>
          </xdr:nvSpPr>
          <xdr:spPr>
            <a:xfrm rot="16200000">
              <a:off x="33162" y="4449339"/>
              <a:ext cx="694266" cy="612000"/>
            </a:xfrm>
            <a:prstGeom prst="round2SameRect">
              <a:avLst>
                <a:gd name="adj1" fmla="val 11721"/>
                <a:gd name="adj2" fmla="val 0"/>
              </a:avLst>
            </a:prstGeom>
            <a:solidFill>
              <a:srgbClr val="3266CA"/>
            </a:solidFill>
            <a:ln w="28575">
              <a:noFill/>
            </a:ln>
            <a:effectLst/>
          </xdr:spPr>
          <xdr:style>
            <a:lnRef idx="3">
              <a:schemeClr val="lt1"/>
            </a:lnRef>
            <a:fillRef idx="1">
              <a:schemeClr val="accent5"/>
            </a:fillRef>
            <a:effectRef idx="1">
              <a:schemeClr val="accent5"/>
            </a:effectRef>
            <a:fontRef idx="minor">
              <a:schemeClr val="lt1"/>
            </a:fontRef>
          </xdr:style>
          <xdr:txBody>
            <a:bodyPr vert="vert" wrap="square" lIns="0" tIns="0" rIns="0" b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es-ES_tradnl" sz="1400">
                  <a:solidFill>
                    <a:srgbClr val="FFFFFF"/>
                  </a:solidFill>
                </a:rPr>
                <a:t>NIVEL</a:t>
              </a:r>
            </a:p>
            <a:p>
              <a:pPr algn="ctr"/>
              <a:r>
                <a:rPr lang="es-ES_tradnl" sz="2000">
                  <a:solidFill>
                    <a:srgbClr val="FFFFFF"/>
                  </a:solidFill>
                  <a:latin typeface="+mj-lt"/>
                </a:rPr>
                <a:t>05</a:t>
              </a:r>
            </a:p>
          </xdr:txBody>
        </xdr:sp>
      </xdr:grpSp>
    </xdr:grpSp>
    <xdr:clientData/>
  </xdr:twoCellAnchor>
  <xdr:twoCellAnchor>
    <xdr:from>
      <xdr:col>1</xdr:col>
      <xdr:colOff>149412</xdr:colOff>
      <xdr:row>40</xdr:row>
      <xdr:rowOff>190933</xdr:rowOff>
    </xdr:from>
    <xdr:to>
      <xdr:col>3</xdr:col>
      <xdr:colOff>7471</xdr:colOff>
      <xdr:row>46</xdr:row>
      <xdr:rowOff>158615</xdr:rowOff>
    </xdr:to>
    <xdr:sp macro="" textlink="">
      <xdr:nvSpPr>
        <xdr:cNvPr id="279" name="Rectángulo 278">
          <a:extLst>
            <a:ext uri="{FF2B5EF4-FFF2-40B4-BE49-F238E27FC236}">
              <a16:creationId xmlns:a16="http://schemas.microsoft.com/office/drawing/2014/main" id="{00000000-0008-0000-0100-000017010000}"/>
            </a:ext>
          </a:extLst>
        </xdr:cNvPr>
        <xdr:cNvSpPr/>
      </xdr:nvSpPr>
      <xdr:spPr>
        <a:xfrm>
          <a:off x="971177" y="8203139"/>
          <a:ext cx="6096000" cy="1200329"/>
        </a:xfrm>
        <a:prstGeom prst="rect">
          <a:avLst/>
        </a:prstGeom>
      </xdr:spPr>
      <xdr:txBody>
        <a:bodyPr wrap="square">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r>
            <a:rPr lang="es-CO">
              <a:latin typeface="Arial" panose="020B0604020202020204" pitchFamily="34" charset="0"/>
              <a:ea typeface="Times New Roman" panose="02020603050405020304" pitchFamily="18" charset="0"/>
              <a:cs typeface="Times New Roman" panose="02020603050405020304" pitchFamily="18" charset="0"/>
            </a:rPr>
            <a:t>Evalúa y mide el nivel de desarrollo, gestión y adopción de la </a:t>
          </a:r>
          <a:r>
            <a:rPr lang="es-CO" b="1">
              <a:latin typeface="Arial" panose="020B0604020202020204" pitchFamily="34" charset="0"/>
              <a:ea typeface="Times New Roman" panose="02020603050405020304" pitchFamily="18" charset="0"/>
              <a:cs typeface="Times New Roman" panose="02020603050405020304" pitchFamily="18" charset="0"/>
            </a:rPr>
            <a:t>Arquitectura Empresaria</a:t>
          </a:r>
          <a:r>
            <a:rPr lang="es-CO">
              <a:latin typeface="Arial" panose="020B0604020202020204" pitchFamily="34" charset="0"/>
              <a:ea typeface="Times New Roman" panose="02020603050405020304" pitchFamily="18" charset="0"/>
              <a:cs typeface="Times New Roman" panose="02020603050405020304" pitchFamily="18" charset="0"/>
            </a:rPr>
            <a:t>l en la entidad.</a:t>
          </a:r>
        </a:p>
        <a:p>
          <a:endParaRPr lang="es-CO">
            <a:latin typeface="Arial" panose="020B0604020202020204" pitchFamily="34" charset="0"/>
            <a:ea typeface="Times New Roman" panose="02020603050405020304" pitchFamily="18" charset="0"/>
            <a:cs typeface="Times New Roman" panose="02020603050405020304" pitchFamily="18" charset="0"/>
          </a:endParaRPr>
        </a:p>
        <a:p>
          <a:r>
            <a:rPr lang="es-CO">
              <a:latin typeface="Arial" panose="020B0604020202020204" pitchFamily="34" charset="0"/>
              <a:ea typeface="Times New Roman" panose="02020603050405020304" pitchFamily="18" charset="0"/>
              <a:cs typeface="Times New Roman" panose="02020603050405020304" pitchFamily="18" charset="0"/>
            </a:rPr>
            <a:t>Integración de CCMI y GAO</a:t>
          </a:r>
        </a:p>
      </xdr:txBody>
    </xdr:sp>
    <xdr:clientData/>
  </xdr:twoCellAnchor>
  <xdr:twoCellAnchor>
    <xdr:from>
      <xdr:col>1</xdr:col>
      <xdr:colOff>2121032</xdr:colOff>
      <xdr:row>40</xdr:row>
      <xdr:rowOff>128072</xdr:rowOff>
    </xdr:from>
    <xdr:to>
      <xdr:col>5</xdr:col>
      <xdr:colOff>2336799</xdr:colOff>
      <xdr:row>67</xdr:row>
      <xdr:rowOff>14393</xdr:rowOff>
    </xdr:to>
    <xdr:grpSp>
      <xdr:nvGrpSpPr>
        <xdr:cNvPr id="280" name="Grupo 279">
          <a:extLst>
            <a:ext uri="{FF2B5EF4-FFF2-40B4-BE49-F238E27FC236}">
              <a16:creationId xmlns:a16="http://schemas.microsoft.com/office/drawing/2014/main" id="{00000000-0008-0000-0100-000018010000}"/>
            </a:ext>
          </a:extLst>
        </xdr:cNvPr>
        <xdr:cNvGrpSpPr/>
      </xdr:nvGrpSpPr>
      <xdr:grpSpPr>
        <a:xfrm>
          <a:off x="2953101" y="8010831"/>
          <a:ext cx="11164043" cy="5207183"/>
          <a:chOff x="187201" y="1230544"/>
          <a:chExt cx="11856761" cy="5433809"/>
        </a:xfrm>
      </xdr:grpSpPr>
      <xdr:sp macro="" textlink="">
        <xdr:nvSpPr>
          <xdr:cNvPr id="281" name="Forma libre 280">
            <a:extLst>
              <a:ext uri="{FF2B5EF4-FFF2-40B4-BE49-F238E27FC236}">
                <a16:creationId xmlns:a16="http://schemas.microsoft.com/office/drawing/2014/main" id="{00000000-0008-0000-0100-000019010000}"/>
              </a:ext>
            </a:extLst>
          </xdr:cNvPr>
          <xdr:cNvSpPr/>
        </xdr:nvSpPr>
        <xdr:spPr>
          <a:xfrm>
            <a:off x="416674" y="4622028"/>
            <a:ext cx="1897980" cy="1454614"/>
          </a:xfrm>
          <a:custGeom>
            <a:avLst/>
            <a:gdLst>
              <a:gd name="connsiteX0" fmla="*/ 0 w 1540933"/>
              <a:gd name="connsiteY0" fmla="*/ 0 h 1202267"/>
              <a:gd name="connsiteX1" fmla="*/ 0 w 1540933"/>
              <a:gd name="connsiteY1" fmla="*/ 1202267 h 1202267"/>
              <a:gd name="connsiteX2" fmla="*/ 1540933 w 1540933"/>
              <a:gd name="connsiteY2" fmla="*/ 1202267 h 1202267"/>
            </a:gdLst>
            <a:ahLst/>
            <a:cxnLst>
              <a:cxn ang="0">
                <a:pos x="connsiteX0" y="connsiteY0"/>
              </a:cxn>
              <a:cxn ang="0">
                <a:pos x="connsiteX1" y="connsiteY1"/>
              </a:cxn>
              <a:cxn ang="0">
                <a:pos x="connsiteX2" y="connsiteY2"/>
              </a:cxn>
            </a:cxnLst>
            <a:rect l="l" t="t" r="r" b="b"/>
            <a:pathLst>
              <a:path w="1540933" h="1202267">
                <a:moveTo>
                  <a:pt x="0" y="0"/>
                </a:moveTo>
                <a:lnTo>
                  <a:pt x="0" y="1202267"/>
                </a:lnTo>
                <a:lnTo>
                  <a:pt x="1540933" y="1202267"/>
                </a:lnTo>
              </a:path>
            </a:pathLst>
          </a:custGeom>
          <a:noFill/>
          <a:ln>
            <a:solidFill>
              <a:srgbClr val="F654A1"/>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p>
        </xdr:txBody>
      </xdr:sp>
      <xdr:sp macro="" textlink="">
        <xdr:nvSpPr>
          <xdr:cNvPr id="282" name="Forma libre 281">
            <a:extLst>
              <a:ext uri="{FF2B5EF4-FFF2-40B4-BE49-F238E27FC236}">
                <a16:creationId xmlns:a16="http://schemas.microsoft.com/office/drawing/2014/main" id="{00000000-0008-0000-0100-00001A010000}"/>
              </a:ext>
            </a:extLst>
          </xdr:cNvPr>
          <xdr:cNvSpPr/>
        </xdr:nvSpPr>
        <xdr:spPr>
          <a:xfrm>
            <a:off x="2719606" y="3775883"/>
            <a:ext cx="1962885" cy="2300637"/>
          </a:xfrm>
          <a:custGeom>
            <a:avLst/>
            <a:gdLst>
              <a:gd name="connsiteX0" fmla="*/ 0 w 1540933"/>
              <a:gd name="connsiteY0" fmla="*/ 0 h 1202267"/>
              <a:gd name="connsiteX1" fmla="*/ 0 w 1540933"/>
              <a:gd name="connsiteY1" fmla="*/ 1202267 h 1202267"/>
              <a:gd name="connsiteX2" fmla="*/ 1540933 w 1540933"/>
              <a:gd name="connsiteY2" fmla="*/ 1202267 h 1202267"/>
            </a:gdLst>
            <a:ahLst/>
            <a:cxnLst>
              <a:cxn ang="0">
                <a:pos x="connsiteX0" y="connsiteY0"/>
              </a:cxn>
              <a:cxn ang="0">
                <a:pos x="connsiteX1" y="connsiteY1"/>
              </a:cxn>
              <a:cxn ang="0">
                <a:pos x="connsiteX2" y="connsiteY2"/>
              </a:cxn>
            </a:cxnLst>
            <a:rect l="l" t="t" r="r" b="b"/>
            <a:pathLst>
              <a:path w="1540933" h="1202267">
                <a:moveTo>
                  <a:pt x="0" y="0"/>
                </a:moveTo>
                <a:lnTo>
                  <a:pt x="0" y="1202267"/>
                </a:lnTo>
                <a:lnTo>
                  <a:pt x="1540933" y="1202267"/>
                </a:lnTo>
              </a:path>
            </a:pathLst>
          </a:custGeom>
          <a:noFill/>
          <a:ln>
            <a:solidFill>
              <a:srgbClr val="F654A1"/>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p>
        </xdr:txBody>
      </xdr:sp>
      <xdr:sp macro="" textlink="">
        <xdr:nvSpPr>
          <xdr:cNvPr id="283" name="Forma libre 282">
            <a:extLst>
              <a:ext uri="{FF2B5EF4-FFF2-40B4-BE49-F238E27FC236}">
                <a16:creationId xmlns:a16="http://schemas.microsoft.com/office/drawing/2014/main" id="{00000000-0008-0000-0100-00001B010000}"/>
              </a:ext>
            </a:extLst>
          </xdr:cNvPr>
          <xdr:cNvSpPr/>
        </xdr:nvSpPr>
        <xdr:spPr>
          <a:xfrm>
            <a:off x="7372039" y="2149239"/>
            <a:ext cx="2065703" cy="3927282"/>
          </a:xfrm>
          <a:custGeom>
            <a:avLst/>
            <a:gdLst>
              <a:gd name="connsiteX0" fmla="*/ 0 w 1540933"/>
              <a:gd name="connsiteY0" fmla="*/ 0 h 1202267"/>
              <a:gd name="connsiteX1" fmla="*/ 0 w 1540933"/>
              <a:gd name="connsiteY1" fmla="*/ 1202267 h 1202267"/>
              <a:gd name="connsiteX2" fmla="*/ 1540933 w 1540933"/>
              <a:gd name="connsiteY2" fmla="*/ 1202267 h 1202267"/>
            </a:gdLst>
            <a:ahLst/>
            <a:cxnLst>
              <a:cxn ang="0">
                <a:pos x="connsiteX0" y="connsiteY0"/>
              </a:cxn>
              <a:cxn ang="0">
                <a:pos x="connsiteX1" y="connsiteY1"/>
              </a:cxn>
              <a:cxn ang="0">
                <a:pos x="connsiteX2" y="connsiteY2"/>
              </a:cxn>
            </a:cxnLst>
            <a:rect l="l" t="t" r="r" b="b"/>
            <a:pathLst>
              <a:path w="1540933" h="1202267">
                <a:moveTo>
                  <a:pt x="0" y="0"/>
                </a:moveTo>
                <a:lnTo>
                  <a:pt x="0" y="1202267"/>
                </a:lnTo>
                <a:lnTo>
                  <a:pt x="1540933" y="1202267"/>
                </a:lnTo>
              </a:path>
            </a:pathLst>
          </a:custGeom>
          <a:noFill/>
          <a:ln>
            <a:solidFill>
              <a:srgbClr val="F654A1"/>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p>
        </xdr:txBody>
      </xdr:sp>
      <xdr:sp macro="" textlink="">
        <xdr:nvSpPr>
          <xdr:cNvPr id="284" name="Forma libre 283">
            <a:extLst>
              <a:ext uri="{FF2B5EF4-FFF2-40B4-BE49-F238E27FC236}">
                <a16:creationId xmlns:a16="http://schemas.microsoft.com/office/drawing/2014/main" id="{00000000-0008-0000-0100-00001C010000}"/>
              </a:ext>
            </a:extLst>
          </xdr:cNvPr>
          <xdr:cNvSpPr/>
        </xdr:nvSpPr>
        <xdr:spPr>
          <a:xfrm>
            <a:off x="5064873" y="2987439"/>
            <a:ext cx="1926167" cy="3089081"/>
          </a:xfrm>
          <a:custGeom>
            <a:avLst/>
            <a:gdLst>
              <a:gd name="connsiteX0" fmla="*/ 0 w 1540933"/>
              <a:gd name="connsiteY0" fmla="*/ 0 h 1202267"/>
              <a:gd name="connsiteX1" fmla="*/ 0 w 1540933"/>
              <a:gd name="connsiteY1" fmla="*/ 1202267 h 1202267"/>
              <a:gd name="connsiteX2" fmla="*/ 1540933 w 1540933"/>
              <a:gd name="connsiteY2" fmla="*/ 1202267 h 1202267"/>
            </a:gdLst>
            <a:ahLst/>
            <a:cxnLst>
              <a:cxn ang="0">
                <a:pos x="connsiteX0" y="connsiteY0"/>
              </a:cxn>
              <a:cxn ang="0">
                <a:pos x="connsiteX1" y="connsiteY1"/>
              </a:cxn>
              <a:cxn ang="0">
                <a:pos x="connsiteX2" y="connsiteY2"/>
              </a:cxn>
            </a:cxnLst>
            <a:rect l="l" t="t" r="r" b="b"/>
            <a:pathLst>
              <a:path w="1540933" h="1202267">
                <a:moveTo>
                  <a:pt x="0" y="0"/>
                </a:moveTo>
                <a:lnTo>
                  <a:pt x="0" y="1202267"/>
                </a:lnTo>
                <a:lnTo>
                  <a:pt x="1540933" y="1202267"/>
                </a:lnTo>
              </a:path>
            </a:pathLst>
          </a:custGeom>
          <a:noFill/>
          <a:ln>
            <a:solidFill>
              <a:srgbClr val="F654A1"/>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p>
        </xdr:txBody>
      </xdr:sp>
      <xdr:sp macro="" textlink="">
        <xdr:nvSpPr>
          <xdr:cNvPr id="285" name="Forma libre 284">
            <a:extLst>
              <a:ext uri="{FF2B5EF4-FFF2-40B4-BE49-F238E27FC236}">
                <a16:creationId xmlns:a16="http://schemas.microsoft.com/office/drawing/2014/main" id="{00000000-0008-0000-0100-00001D010000}"/>
              </a:ext>
            </a:extLst>
          </xdr:cNvPr>
          <xdr:cNvSpPr/>
        </xdr:nvSpPr>
        <xdr:spPr>
          <a:xfrm>
            <a:off x="9667026" y="1311038"/>
            <a:ext cx="1926167" cy="4765481"/>
          </a:xfrm>
          <a:custGeom>
            <a:avLst/>
            <a:gdLst>
              <a:gd name="connsiteX0" fmla="*/ 0 w 1540933"/>
              <a:gd name="connsiteY0" fmla="*/ 0 h 1202267"/>
              <a:gd name="connsiteX1" fmla="*/ 0 w 1540933"/>
              <a:gd name="connsiteY1" fmla="*/ 1202267 h 1202267"/>
              <a:gd name="connsiteX2" fmla="*/ 1540933 w 1540933"/>
              <a:gd name="connsiteY2" fmla="*/ 1202267 h 1202267"/>
            </a:gdLst>
            <a:ahLst/>
            <a:cxnLst>
              <a:cxn ang="0">
                <a:pos x="connsiteX0" y="connsiteY0"/>
              </a:cxn>
              <a:cxn ang="0">
                <a:pos x="connsiteX1" y="connsiteY1"/>
              </a:cxn>
              <a:cxn ang="0">
                <a:pos x="connsiteX2" y="connsiteY2"/>
              </a:cxn>
            </a:cxnLst>
            <a:rect l="l" t="t" r="r" b="b"/>
            <a:pathLst>
              <a:path w="1540933" h="1202267">
                <a:moveTo>
                  <a:pt x="0" y="0"/>
                </a:moveTo>
                <a:lnTo>
                  <a:pt x="0" y="1202267"/>
                </a:lnTo>
                <a:lnTo>
                  <a:pt x="1540933" y="1202267"/>
                </a:lnTo>
              </a:path>
            </a:pathLst>
          </a:custGeom>
          <a:noFill/>
          <a:ln>
            <a:solidFill>
              <a:srgbClr val="F654A1"/>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p>
        </xdr:txBody>
      </xdr:sp>
      <xdr:sp macro="" textlink="">
        <xdr:nvSpPr>
          <xdr:cNvPr id="286" name="CuadroTexto 21">
            <a:extLst>
              <a:ext uri="{FF2B5EF4-FFF2-40B4-BE49-F238E27FC236}">
                <a16:creationId xmlns:a16="http://schemas.microsoft.com/office/drawing/2014/main" id="{00000000-0008-0000-0100-00001E010000}"/>
              </a:ext>
            </a:extLst>
          </xdr:cNvPr>
          <xdr:cNvSpPr txBox="1"/>
        </xdr:nvSpPr>
        <xdr:spPr>
          <a:xfrm>
            <a:off x="2815126" y="4137527"/>
            <a:ext cx="2227525" cy="1938992"/>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r>
              <a:rPr lang="es-CO" sz="1200" b="1"/>
              <a:t>Etapa 1: </a:t>
            </a:r>
          </a:p>
          <a:p>
            <a:r>
              <a:rPr lang="es-CO" sz="1200" b="0"/>
              <a:t>Establecer el compromiso y dirección institucional de AE</a:t>
            </a:r>
            <a:endParaRPr lang="es-CO" sz="1200"/>
          </a:p>
          <a:p>
            <a:r>
              <a:rPr lang="es-CO" sz="1200" b="1"/>
              <a:t>Etapa 2:</a:t>
            </a:r>
          </a:p>
          <a:p>
            <a:r>
              <a:rPr lang="es-CO" sz="1200" b="0"/>
              <a:t>Crear los Fundamentos de Gestión para el Desarrollo y el Uso de AE</a:t>
            </a:r>
            <a:endParaRPr lang="es-CO" sz="1200"/>
          </a:p>
          <a:p>
            <a:r>
              <a:rPr lang="es-CO" sz="1200" b="1"/>
              <a:t>Etapa 3: </a:t>
            </a:r>
          </a:p>
          <a:p>
            <a:r>
              <a:rPr lang="es-CO" sz="1200" b="0"/>
              <a:t>Desarrollar la versión inicial de AE</a:t>
            </a:r>
          </a:p>
        </xdr:txBody>
      </xdr:sp>
      <xdr:sp macro="" textlink="">
        <xdr:nvSpPr>
          <xdr:cNvPr id="287" name="CuadroTexto 22">
            <a:extLst>
              <a:ext uri="{FF2B5EF4-FFF2-40B4-BE49-F238E27FC236}">
                <a16:creationId xmlns:a16="http://schemas.microsoft.com/office/drawing/2014/main" id="{00000000-0008-0000-0100-00001F010000}"/>
              </a:ext>
            </a:extLst>
          </xdr:cNvPr>
          <xdr:cNvSpPr txBox="1"/>
        </xdr:nvSpPr>
        <xdr:spPr>
          <a:xfrm>
            <a:off x="5224091" y="3390303"/>
            <a:ext cx="2065703" cy="1046440"/>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r>
              <a:rPr lang="es-CO" sz="1200" b="1"/>
              <a:t>Etapa 4: </a:t>
            </a:r>
          </a:p>
          <a:p>
            <a:r>
              <a:rPr lang="es-CO" sz="1200" b="0"/>
              <a:t>Finalizar y usar la versión inicial de AE para resultados específicos</a:t>
            </a:r>
          </a:p>
          <a:p>
            <a:endParaRPr lang="es-CO" sz="1200"/>
          </a:p>
        </xdr:txBody>
      </xdr:sp>
      <xdr:sp macro="" textlink="">
        <xdr:nvSpPr>
          <xdr:cNvPr id="288" name="CuadroTexto 23">
            <a:extLst>
              <a:ext uri="{FF2B5EF4-FFF2-40B4-BE49-F238E27FC236}">
                <a16:creationId xmlns:a16="http://schemas.microsoft.com/office/drawing/2014/main" id="{00000000-0008-0000-0100-000020010000}"/>
              </a:ext>
            </a:extLst>
          </xdr:cNvPr>
          <xdr:cNvSpPr txBox="1"/>
        </xdr:nvSpPr>
        <xdr:spPr>
          <a:xfrm>
            <a:off x="7384506" y="2717921"/>
            <a:ext cx="1951884" cy="1231106"/>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r>
              <a:rPr lang="es-CO" sz="1200" b="1"/>
              <a:t>Etapa 5:</a:t>
            </a:r>
          </a:p>
          <a:p>
            <a:r>
              <a:rPr lang="es-CO" sz="1200" b="0"/>
              <a:t>Ampliar y evolucionar la AE y su uso para la transformación institucional</a:t>
            </a:r>
          </a:p>
          <a:p>
            <a:endParaRPr lang="es-CO" sz="1200"/>
          </a:p>
        </xdr:txBody>
      </xdr:sp>
      <xdr:sp macro="" textlink="">
        <xdr:nvSpPr>
          <xdr:cNvPr id="289" name="CuadroTexto 24">
            <a:extLst>
              <a:ext uri="{FF2B5EF4-FFF2-40B4-BE49-F238E27FC236}">
                <a16:creationId xmlns:a16="http://schemas.microsoft.com/office/drawing/2014/main" id="{00000000-0008-0000-0100-000021010000}"/>
              </a:ext>
            </a:extLst>
          </xdr:cNvPr>
          <xdr:cNvSpPr txBox="1"/>
        </xdr:nvSpPr>
        <xdr:spPr>
          <a:xfrm>
            <a:off x="9718595" y="2048704"/>
            <a:ext cx="2325367" cy="830997"/>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r>
              <a:rPr lang="es-CO" sz="1200" b="1"/>
              <a:t>Etapa 6</a:t>
            </a:r>
          </a:p>
          <a:p>
            <a:r>
              <a:rPr lang="es-CO" sz="1200" b="0"/>
              <a:t>Mejoramiento continuo la AE y su uso para lograr la optimización corporativa</a:t>
            </a:r>
          </a:p>
        </xdr:txBody>
      </xdr:sp>
      <xdr:sp macro="" textlink="">
        <xdr:nvSpPr>
          <xdr:cNvPr id="290" name="Flecha curva 289">
            <a:extLst>
              <a:ext uri="{FF2B5EF4-FFF2-40B4-BE49-F238E27FC236}">
                <a16:creationId xmlns:a16="http://schemas.microsoft.com/office/drawing/2014/main" id="{00000000-0008-0000-0100-000022010000}"/>
              </a:ext>
            </a:extLst>
          </xdr:cNvPr>
          <xdr:cNvSpPr/>
        </xdr:nvSpPr>
        <xdr:spPr>
          <a:xfrm>
            <a:off x="1275872" y="3414371"/>
            <a:ext cx="1209259" cy="636040"/>
          </a:xfrm>
          <a:prstGeom prst="bentArrow">
            <a:avLst>
              <a:gd name="adj1" fmla="val 13650"/>
              <a:gd name="adj2" fmla="val 25000"/>
              <a:gd name="adj3" fmla="val 32567"/>
              <a:gd name="adj4" fmla="val 43750"/>
            </a:avLst>
          </a:prstGeom>
          <a:solidFill>
            <a:srgbClr val="F654A1"/>
          </a:solidFill>
          <a:ln>
            <a:solidFill>
              <a:srgbClr val="F654A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solidFill>
                <a:schemeClr val="tx1"/>
              </a:solidFill>
            </a:endParaRPr>
          </a:p>
        </xdr:txBody>
      </xdr:sp>
      <xdr:sp macro="" textlink="">
        <xdr:nvSpPr>
          <xdr:cNvPr id="291" name="CuadroTexto 25">
            <a:extLst>
              <a:ext uri="{FF2B5EF4-FFF2-40B4-BE49-F238E27FC236}">
                <a16:creationId xmlns:a16="http://schemas.microsoft.com/office/drawing/2014/main" id="{00000000-0008-0000-0100-000023010000}"/>
              </a:ext>
            </a:extLst>
          </xdr:cNvPr>
          <xdr:cNvSpPr txBox="1"/>
        </xdr:nvSpPr>
        <xdr:spPr>
          <a:xfrm>
            <a:off x="485453" y="5137282"/>
            <a:ext cx="2222375" cy="646331"/>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pPr fontAlgn="t">
              <a:buClr>
                <a:srgbClr val="F654A1"/>
              </a:buClr>
            </a:pPr>
            <a:r>
              <a:rPr lang="es-CO" sz="1200" b="1">
                <a:solidFill>
                  <a:schemeClr val="tx1">
                    <a:lumMod val="85000"/>
                    <a:lumOff val="15000"/>
                  </a:schemeClr>
                </a:solidFill>
                <a:latin typeface="Arial" panose="020B0604020202020204" pitchFamily="34" charset="0"/>
                <a:cs typeface="Arial" panose="020B0604020202020204" pitchFamily="34" charset="0"/>
              </a:rPr>
              <a:t>Etapa 0</a:t>
            </a:r>
          </a:p>
          <a:p>
            <a:pPr marL="138113" indent="-138113" fontAlgn="t">
              <a:buClr>
                <a:srgbClr val="F654A1"/>
              </a:buClr>
              <a:buFont typeface="Arial" panose="020B0604020202020204" pitchFamily="34" charset="0"/>
              <a:buChar char="•"/>
            </a:pPr>
            <a:r>
              <a:rPr lang="es-CO" sz="1200">
                <a:solidFill>
                  <a:schemeClr val="tx1">
                    <a:lumMod val="85000"/>
                    <a:lumOff val="15000"/>
                  </a:schemeClr>
                </a:solidFill>
                <a:latin typeface="Arial" panose="020B0604020202020204" pitchFamily="34" charset="0"/>
                <a:ea typeface="Helvetica Neue" charset="0"/>
                <a:cs typeface="Arial" panose="020B0604020202020204" pitchFamily="34" charset="0"/>
              </a:rPr>
              <a:t>Crear la Conciencia de AE</a:t>
            </a:r>
          </a:p>
          <a:p>
            <a:pPr marL="138113" indent="-138113" fontAlgn="t">
              <a:buClr>
                <a:srgbClr val="F654A1"/>
              </a:buClr>
              <a:buFont typeface="Arial" panose="020B0604020202020204" pitchFamily="34" charset="0"/>
              <a:buChar char="•"/>
            </a:pPr>
            <a:endParaRPr lang="es-CO" sz="1200">
              <a:solidFill>
                <a:schemeClr val="tx1">
                  <a:lumMod val="85000"/>
                  <a:lumOff val="15000"/>
                </a:schemeClr>
              </a:solidFill>
              <a:latin typeface="Arial" panose="020B0604020202020204" pitchFamily="34" charset="0"/>
              <a:ea typeface="Helvetica Neue" charset="0"/>
              <a:cs typeface="Arial" panose="020B0604020202020204" pitchFamily="34" charset="0"/>
            </a:endParaRPr>
          </a:p>
        </xdr:txBody>
      </xdr:sp>
      <xdr:sp macro="" textlink="">
        <xdr:nvSpPr>
          <xdr:cNvPr id="292" name="Flecha curva 291">
            <a:extLst>
              <a:ext uri="{FF2B5EF4-FFF2-40B4-BE49-F238E27FC236}">
                <a16:creationId xmlns:a16="http://schemas.microsoft.com/office/drawing/2014/main" id="{00000000-0008-0000-0100-000024010000}"/>
              </a:ext>
            </a:extLst>
          </xdr:cNvPr>
          <xdr:cNvSpPr/>
        </xdr:nvSpPr>
        <xdr:spPr>
          <a:xfrm>
            <a:off x="3549326" y="2690232"/>
            <a:ext cx="1209259" cy="636040"/>
          </a:xfrm>
          <a:prstGeom prst="bentArrow">
            <a:avLst>
              <a:gd name="adj1" fmla="val 13650"/>
              <a:gd name="adj2" fmla="val 25000"/>
              <a:gd name="adj3" fmla="val 32567"/>
              <a:gd name="adj4" fmla="val 43750"/>
            </a:avLst>
          </a:prstGeom>
          <a:solidFill>
            <a:srgbClr val="F654A1"/>
          </a:solidFill>
          <a:ln>
            <a:solidFill>
              <a:srgbClr val="F654A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solidFill>
                <a:schemeClr val="tx1"/>
              </a:solidFill>
            </a:endParaRPr>
          </a:p>
        </xdr:txBody>
      </xdr:sp>
      <xdr:sp macro="" textlink="">
        <xdr:nvSpPr>
          <xdr:cNvPr id="293" name="Flecha curva 292">
            <a:extLst>
              <a:ext uri="{FF2B5EF4-FFF2-40B4-BE49-F238E27FC236}">
                <a16:creationId xmlns:a16="http://schemas.microsoft.com/office/drawing/2014/main" id="{00000000-0008-0000-0100-000025010000}"/>
              </a:ext>
            </a:extLst>
          </xdr:cNvPr>
          <xdr:cNvSpPr/>
        </xdr:nvSpPr>
        <xdr:spPr>
          <a:xfrm>
            <a:off x="5828214" y="1976783"/>
            <a:ext cx="1209259" cy="636040"/>
          </a:xfrm>
          <a:prstGeom prst="bentArrow">
            <a:avLst>
              <a:gd name="adj1" fmla="val 13650"/>
              <a:gd name="adj2" fmla="val 25000"/>
              <a:gd name="adj3" fmla="val 32567"/>
              <a:gd name="adj4" fmla="val 43750"/>
            </a:avLst>
          </a:prstGeom>
          <a:solidFill>
            <a:srgbClr val="F654A1"/>
          </a:solidFill>
          <a:ln>
            <a:solidFill>
              <a:srgbClr val="F654A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solidFill>
                <a:schemeClr val="tx1"/>
              </a:solidFill>
            </a:endParaRPr>
          </a:p>
        </xdr:txBody>
      </xdr:sp>
      <xdr:sp macro="" textlink="">
        <xdr:nvSpPr>
          <xdr:cNvPr id="294" name="Flecha curva 293">
            <a:extLst>
              <a:ext uri="{FF2B5EF4-FFF2-40B4-BE49-F238E27FC236}">
                <a16:creationId xmlns:a16="http://schemas.microsoft.com/office/drawing/2014/main" id="{00000000-0008-0000-0100-000026010000}"/>
              </a:ext>
            </a:extLst>
          </xdr:cNvPr>
          <xdr:cNvSpPr/>
        </xdr:nvSpPr>
        <xdr:spPr>
          <a:xfrm>
            <a:off x="8050272" y="1256071"/>
            <a:ext cx="1209259" cy="636040"/>
          </a:xfrm>
          <a:prstGeom prst="bentArrow">
            <a:avLst>
              <a:gd name="adj1" fmla="val 13650"/>
              <a:gd name="adj2" fmla="val 25000"/>
              <a:gd name="adj3" fmla="val 32567"/>
              <a:gd name="adj4" fmla="val 43750"/>
            </a:avLst>
          </a:prstGeom>
          <a:solidFill>
            <a:srgbClr val="F654A1"/>
          </a:solidFill>
          <a:ln>
            <a:solidFill>
              <a:srgbClr val="F654A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solidFill>
                <a:schemeClr val="tx1"/>
              </a:solidFill>
            </a:endParaRPr>
          </a:p>
        </xdr:txBody>
      </xdr:sp>
      <xdr:grpSp>
        <xdr:nvGrpSpPr>
          <xdr:cNvPr id="295" name="Grupo 294">
            <a:extLst>
              <a:ext uri="{FF2B5EF4-FFF2-40B4-BE49-F238E27FC236}">
                <a16:creationId xmlns:a16="http://schemas.microsoft.com/office/drawing/2014/main" id="{00000000-0008-0000-0100-000027010000}"/>
              </a:ext>
            </a:extLst>
          </xdr:cNvPr>
          <xdr:cNvGrpSpPr/>
        </xdr:nvGrpSpPr>
        <xdr:grpSpPr>
          <a:xfrm>
            <a:off x="200567" y="3913523"/>
            <a:ext cx="2269066" cy="694266"/>
            <a:chOff x="200567" y="3913523"/>
            <a:chExt cx="2269066" cy="694266"/>
          </a:xfrm>
        </xdr:grpSpPr>
        <xdr:sp macro="" textlink="">
          <xdr:nvSpPr>
            <xdr:cNvPr id="309" name="Rectángulo redondeado 308">
              <a:extLst>
                <a:ext uri="{FF2B5EF4-FFF2-40B4-BE49-F238E27FC236}">
                  <a16:creationId xmlns:a16="http://schemas.microsoft.com/office/drawing/2014/main" id="{00000000-0008-0000-0100-000035010000}"/>
                </a:ext>
              </a:extLst>
            </xdr:cNvPr>
            <xdr:cNvSpPr/>
          </xdr:nvSpPr>
          <xdr:spPr>
            <a:xfrm>
              <a:off x="200567" y="3918278"/>
              <a:ext cx="2269066" cy="677334"/>
            </a:xfrm>
            <a:prstGeom prst="roundRect">
              <a:avLst/>
            </a:prstGeom>
            <a:solidFill>
              <a:srgbClr val="FFFFFF"/>
            </a:solidFill>
            <a:ln w="28575">
              <a:solidFill>
                <a:srgbClr val="3266CA"/>
              </a:solidFill>
            </a:ln>
            <a:effectLst>
              <a:outerShdw dist="50800" dir="2700000" algn="tl" rotWithShape="0">
                <a:srgbClr val="3266CA"/>
              </a:outerShdw>
            </a:effectLst>
          </xdr:spPr>
          <xdr:style>
            <a:lnRef idx="3">
              <a:schemeClr val="lt1"/>
            </a:lnRef>
            <a:fillRef idx="1">
              <a:schemeClr val="accent5"/>
            </a:fillRef>
            <a:effectRef idx="1">
              <a:schemeClr val="accent5"/>
            </a:effectRef>
            <a:fontRef idx="minor">
              <a:schemeClr val="lt1"/>
            </a:fontRef>
          </xdr:style>
          <xdr:txBody>
            <a:bodyPr wrap="square" lIns="648000" r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spcBef>
                  <a:spcPts val="1800"/>
                </a:spcBef>
              </a:pPr>
              <a:r>
                <a:rPr lang="es-ES_tradnl" sz="2000">
                  <a:solidFill>
                    <a:schemeClr val="tx1">
                      <a:lumMod val="75000"/>
                      <a:lumOff val="25000"/>
                    </a:schemeClr>
                  </a:solidFill>
                  <a:latin typeface="Arial" panose="020B0604020202020204" pitchFamily="34" charset="0"/>
                  <a:cs typeface="Arial" panose="020B0604020202020204" pitchFamily="34" charset="0"/>
                </a:rPr>
                <a:t>Inicial</a:t>
              </a:r>
            </a:p>
          </xdr:txBody>
        </xdr:sp>
        <xdr:sp macro="" textlink="">
          <xdr:nvSpPr>
            <xdr:cNvPr id="310" name="Redondear rectángulo de esquina del mismo lado 309">
              <a:extLst>
                <a:ext uri="{FF2B5EF4-FFF2-40B4-BE49-F238E27FC236}">
                  <a16:creationId xmlns:a16="http://schemas.microsoft.com/office/drawing/2014/main" id="{00000000-0008-0000-0100-000036010000}"/>
                </a:ext>
              </a:extLst>
            </xdr:cNvPr>
            <xdr:cNvSpPr/>
          </xdr:nvSpPr>
          <xdr:spPr>
            <a:xfrm rot="16200000">
              <a:off x="164189" y="3954656"/>
              <a:ext cx="694266" cy="612000"/>
            </a:xfrm>
            <a:prstGeom prst="round2SameRect">
              <a:avLst>
                <a:gd name="adj1" fmla="val 11721"/>
                <a:gd name="adj2" fmla="val 0"/>
              </a:avLst>
            </a:prstGeom>
            <a:solidFill>
              <a:srgbClr val="3266CA"/>
            </a:solidFill>
            <a:ln w="28575">
              <a:noFill/>
            </a:ln>
            <a:effectLst/>
          </xdr:spPr>
          <xdr:style>
            <a:lnRef idx="3">
              <a:schemeClr val="lt1"/>
            </a:lnRef>
            <a:fillRef idx="1">
              <a:schemeClr val="accent5"/>
            </a:fillRef>
            <a:effectRef idx="1">
              <a:schemeClr val="accent5"/>
            </a:effectRef>
            <a:fontRef idx="minor">
              <a:schemeClr val="lt1"/>
            </a:fontRef>
          </xdr:style>
          <xdr:txBody>
            <a:bodyPr vert="vert" wrap="square" lIns="0" tIns="0" rIns="0" b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es-ES_tradnl" sz="1400">
                  <a:solidFill>
                    <a:srgbClr val="FFFFFF"/>
                  </a:solidFill>
                </a:rPr>
                <a:t>NIVEL</a:t>
              </a:r>
            </a:p>
            <a:p>
              <a:pPr algn="ctr"/>
              <a:r>
                <a:rPr lang="es-ES_tradnl" sz="2000">
                  <a:solidFill>
                    <a:srgbClr val="FFFFFF"/>
                  </a:solidFill>
                  <a:latin typeface="+mj-lt"/>
                </a:rPr>
                <a:t>01</a:t>
              </a:r>
            </a:p>
          </xdr:txBody>
        </xdr:sp>
      </xdr:grpSp>
      <xdr:grpSp>
        <xdr:nvGrpSpPr>
          <xdr:cNvPr id="296" name="Grupo 295">
            <a:extLst>
              <a:ext uri="{FF2B5EF4-FFF2-40B4-BE49-F238E27FC236}">
                <a16:creationId xmlns:a16="http://schemas.microsoft.com/office/drawing/2014/main" id="{00000000-0008-0000-0100-000028010000}"/>
              </a:ext>
            </a:extLst>
          </xdr:cNvPr>
          <xdr:cNvGrpSpPr/>
        </xdr:nvGrpSpPr>
        <xdr:grpSpPr>
          <a:xfrm>
            <a:off x="2506413" y="3270921"/>
            <a:ext cx="2269066" cy="694266"/>
            <a:chOff x="2506413" y="3270921"/>
            <a:chExt cx="2269066" cy="694266"/>
          </a:xfrm>
        </xdr:grpSpPr>
        <xdr:sp macro="" textlink="">
          <xdr:nvSpPr>
            <xdr:cNvPr id="307" name="Rectángulo redondeado 306">
              <a:extLst>
                <a:ext uri="{FF2B5EF4-FFF2-40B4-BE49-F238E27FC236}">
                  <a16:creationId xmlns:a16="http://schemas.microsoft.com/office/drawing/2014/main" id="{00000000-0008-0000-0100-000033010000}"/>
                </a:ext>
              </a:extLst>
            </xdr:cNvPr>
            <xdr:cNvSpPr/>
          </xdr:nvSpPr>
          <xdr:spPr>
            <a:xfrm>
              <a:off x="2506413" y="3275676"/>
              <a:ext cx="2269066" cy="677334"/>
            </a:xfrm>
            <a:prstGeom prst="roundRect">
              <a:avLst/>
            </a:prstGeom>
            <a:solidFill>
              <a:srgbClr val="FFFFFF"/>
            </a:solidFill>
            <a:ln w="28575">
              <a:solidFill>
                <a:srgbClr val="3266CA"/>
              </a:solidFill>
            </a:ln>
            <a:effectLst>
              <a:outerShdw dist="50800" dir="2700000" algn="tl" rotWithShape="0">
                <a:srgbClr val="3266CA"/>
              </a:outerShdw>
            </a:effectLst>
          </xdr:spPr>
          <xdr:style>
            <a:lnRef idx="3">
              <a:schemeClr val="lt1"/>
            </a:lnRef>
            <a:fillRef idx="1">
              <a:schemeClr val="accent5"/>
            </a:fillRef>
            <a:effectRef idx="1">
              <a:schemeClr val="accent5"/>
            </a:effectRef>
            <a:fontRef idx="minor">
              <a:schemeClr val="lt1"/>
            </a:fontRef>
          </xdr:style>
          <xdr:txBody>
            <a:bodyPr wrap="square" lIns="648000" r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spcBef>
                  <a:spcPts val="1800"/>
                </a:spcBef>
              </a:pPr>
              <a:r>
                <a:rPr lang="es-ES_tradnl" sz="2000">
                  <a:solidFill>
                    <a:schemeClr val="tx1">
                      <a:lumMod val="75000"/>
                      <a:lumOff val="25000"/>
                    </a:schemeClr>
                  </a:solidFill>
                  <a:latin typeface="Arial" panose="020B0604020202020204" pitchFamily="34" charset="0"/>
                  <a:cs typeface="Arial" panose="020B0604020202020204" pitchFamily="34" charset="0"/>
                </a:rPr>
                <a:t>Repetible</a:t>
              </a:r>
            </a:p>
          </xdr:txBody>
        </xdr:sp>
        <xdr:sp macro="" textlink="">
          <xdr:nvSpPr>
            <xdr:cNvPr id="308" name="Redondear rectángulo de esquina del mismo lado 307">
              <a:extLst>
                <a:ext uri="{FF2B5EF4-FFF2-40B4-BE49-F238E27FC236}">
                  <a16:creationId xmlns:a16="http://schemas.microsoft.com/office/drawing/2014/main" id="{00000000-0008-0000-0100-000034010000}"/>
                </a:ext>
              </a:extLst>
            </xdr:cNvPr>
            <xdr:cNvSpPr/>
          </xdr:nvSpPr>
          <xdr:spPr>
            <a:xfrm rot="16200000">
              <a:off x="2470035" y="3312054"/>
              <a:ext cx="694266" cy="612000"/>
            </a:xfrm>
            <a:prstGeom prst="round2SameRect">
              <a:avLst>
                <a:gd name="adj1" fmla="val 11721"/>
                <a:gd name="adj2" fmla="val 0"/>
              </a:avLst>
            </a:prstGeom>
            <a:solidFill>
              <a:srgbClr val="3266CA"/>
            </a:solidFill>
            <a:ln w="28575">
              <a:noFill/>
            </a:ln>
            <a:effectLst/>
          </xdr:spPr>
          <xdr:style>
            <a:lnRef idx="3">
              <a:schemeClr val="lt1"/>
            </a:lnRef>
            <a:fillRef idx="1">
              <a:schemeClr val="accent5"/>
            </a:fillRef>
            <a:effectRef idx="1">
              <a:schemeClr val="accent5"/>
            </a:effectRef>
            <a:fontRef idx="minor">
              <a:schemeClr val="lt1"/>
            </a:fontRef>
          </xdr:style>
          <xdr:txBody>
            <a:bodyPr vert="vert" wrap="square" lIns="0" tIns="0" rIns="0" b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es-ES_tradnl" sz="1400">
                  <a:solidFill>
                    <a:srgbClr val="FFFFFF"/>
                  </a:solidFill>
                </a:rPr>
                <a:t>NIVEL</a:t>
              </a:r>
            </a:p>
            <a:p>
              <a:pPr algn="ctr"/>
              <a:r>
                <a:rPr lang="es-ES_tradnl" sz="2000">
                  <a:solidFill>
                    <a:srgbClr val="FFFFFF"/>
                  </a:solidFill>
                  <a:latin typeface="+mj-lt"/>
                </a:rPr>
                <a:t>02</a:t>
              </a:r>
            </a:p>
          </xdr:txBody>
        </xdr:sp>
      </xdr:grpSp>
      <xdr:grpSp>
        <xdr:nvGrpSpPr>
          <xdr:cNvPr id="297" name="Grupo 296">
            <a:extLst>
              <a:ext uri="{FF2B5EF4-FFF2-40B4-BE49-F238E27FC236}">
                <a16:creationId xmlns:a16="http://schemas.microsoft.com/office/drawing/2014/main" id="{00000000-0008-0000-0100-000029010000}"/>
              </a:ext>
            </a:extLst>
          </xdr:cNvPr>
          <xdr:cNvGrpSpPr/>
        </xdr:nvGrpSpPr>
        <xdr:grpSpPr>
          <a:xfrm>
            <a:off x="4790977" y="2577056"/>
            <a:ext cx="2269066" cy="694266"/>
            <a:chOff x="4790977" y="2577056"/>
            <a:chExt cx="2269066" cy="694266"/>
          </a:xfrm>
        </xdr:grpSpPr>
        <xdr:sp macro="" textlink="">
          <xdr:nvSpPr>
            <xdr:cNvPr id="305" name="Rectángulo redondeado 304">
              <a:extLst>
                <a:ext uri="{FF2B5EF4-FFF2-40B4-BE49-F238E27FC236}">
                  <a16:creationId xmlns:a16="http://schemas.microsoft.com/office/drawing/2014/main" id="{00000000-0008-0000-0100-000031010000}"/>
                </a:ext>
              </a:extLst>
            </xdr:cNvPr>
            <xdr:cNvSpPr/>
          </xdr:nvSpPr>
          <xdr:spPr>
            <a:xfrm>
              <a:off x="4790977" y="2581811"/>
              <a:ext cx="2269066" cy="677334"/>
            </a:xfrm>
            <a:prstGeom prst="roundRect">
              <a:avLst/>
            </a:prstGeom>
            <a:solidFill>
              <a:srgbClr val="FFFFFF"/>
            </a:solidFill>
            <a:ln w="28575">
              <a:solidFill>
                <a:srgbClr val="3266CA"/>
              </a:solidFill>
            </a:ln>
            <a:effectLst>
              <a:outerShdw dist="50800" dir="2700000" algn="tl" rotWithShape="0">
                <a:srgbClr val="3266CA"/>
              </a:outerShdw>
            </a:effectLst>
          </xdr:spPr>
          <xdr:style>
            <a:lnRef idx="3">
              <a:schemeClr val="lt1"/>
            </a:lnRef>
            <a:fillRef idx="1">
              <a:schemeClr val="accent5"/>
            </a:fillRef>
            <a:effectRef idx="1">
              <a:schemeClr val="accent5"/>
            </a:effectRef>
            <a:fontRef idx="minor">
              <a:schemeClr val="lt1"/>
            </a:fontRef>
          </xdr:style>
          <xdr:txBody>
            <a:bodyPr wrap="square" lIns="648000" r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spcBef>
                  <a:spcPts val="1800"/>
                </a:spcBef>
              </a:pPr>
              <a:r>
                <a:rPr lang="es-ES_tradnl" sz="2000">
                  <a:solidFill>
                    <a:schemeClr val="tx1">
                      <a:lumMod val="75000"/>
                      <a:lumOff val="25000"/>
                    </a:schemeClr>
                  </a:solidFill>
                  <a:latin typeface="Arial" panose="020B0604020202020204" pitchFamily="34" charset="0"/>
                  <a:cs typeface="Arial" panose="020B0604020202020204" pitchFamily="34" charset="0"/>
                </a:rPr>
                <a:t>Definido</a:t>
              </a:r>
            </a:p>
          </xdr:txBody>
        </xdr:sp>
        <xdr:sp macro="" textlink="">
          <xdr:nvSpPr>
            <xdr:cNvPr id="306" name="Redondear rectángulo de esquina del mismo lado 305">
              <a:extLst>
                <a:ext uri="{FF2B5EF4-FFF2-40B4-BE49-F238E27FC236}">
                  <a16:creationId xmlns:a16="http://schemas.microsoft.com/office/drawing/2014/main" id="{00000000-0008-0000-0100-000032010000}"/>
                </a:ext>
              </a:extLst>
            </xdr:cNvPr>
            <xdr:cNvSpPr/>
          </xdr:nvSpPr>
          <xdr:spPr>
            <a:xfrm rot="16200000">
              <a:off x="4754599" y="2618189"/>
              <a:ext cx="694266" cy="612000"/>
            </a:xfrm>
            <a:prstGeom prst="round2SameRect">
              <a:avLst>
                <a:gd name="adj1" fmla="val 11721"/>
                <a:gd name="adj2" fmla="val 0"/>
              </a:avLst>
            </a:prstGeom>
            <a:solidFill>
              <a:srgbClr val="3266CA"/>
            </a:solidFill>
            <a:ln w="28575">
              <a:noFill/>
            </a:ln>
            <a:effectLst/>
          </xdr:spPr>
          <xdr:style>
            <a:lnRef idx="3">
              <a:schemeClr val="lt1"/>
            </a:lnRef>
            <a:fillRef idx="1">
              <a:schemeClr val="accent5"/>
            </a:fillRef>
            <a:effectRef idx="1">
              <a:schemeClr val="accent5"/>
            </a:effectRef>
            <a:fontRef idx="minor">
              <a:schemeClr val="lt1"/>
            </a:fontRef>
          </xdr:style>
          <xdr:txBody>
            <a:bodyPr vert="vert" wrap="square" lIns="0" tIns="0" rIns="0" b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es-ES_tradnl" sz="1400">
                  <a:solidFill>
                    <a:srgbClr val="FFFFFF"/>
                  </a:solidFill>
                </a:rPr>
                <a:t>NIVEL</a:t>
              </a:r>
            </a:p>
            <a:p>
              <a:pPr algn="ctr"/>
              <a:r>
                <a:rPr lang="es-ES_tradnl" sz="2000">
                  <a:solidFill>
                    <a:srgbClr val="FFFFFF"/>
                  </a:solidFill>
                  <a:latin typeface="+mj-lt"/>
                </a:rPr>
                <a:t>03</a:t>
              </a:r>
            </a:p>
          </xdr:txBody>
        </xdr:sp>
      </xdr:grpSp>
      <xdr:grpSp>
        <xdr:nvGrpSpPr>
          <xdr:cNvPr id="298" name="Grupo 297">
            <a:extLst>
              <a:ext uri="{FF2B5EF4-FFF2-40B4-BE49-F238E27FC236}">
                <a16:creationId xmlns:a16="http://schemas.microsoft.com/office/drawing/2014/main" id="{00000000-0008-0000-0100-00002A010000}"/>
              </a:ext>
            </a:extLst>
          </xdr:cNvPr>
          <xdr:cNvGrpSpPr/>
        </xdr:nvGrpSpPr>
        <xdr:grpSpPr>
          <a:xfrm>
            <a:off x="9302111" y="1230544"/>
            <a:ext cx="2269066" cy="694266"/>
            <a:chOff x="9302111" y="1230544"/>
            <a:chExt cx="2269066" cy="694266"/>
          </a:xfrm>
        </xdr:grpSpPr>
        <xdr:sp macro="" textlink="">
          <xdr:nvSpPr>
            <xdr:cNvPr id="303" name="Rectángulo redondeado 302">
              <a:extLst>
                <a:ext uri="{FF2B5EF4-FFF2-40B4-BE49-F238E27FC236}">
                  <a16:creationId xmlns:a16="http://schemas.microsoft.com/office/drawing/2014/main" id="{00000000-0008-0000-0100-00002F010000}"/>
                </a:ext>
              </a:extLst>
            </xdr:cNvPr>
            <xdr:cNvSpPr/>
          </xdr:nvSpPr>
          <xdr:spPr>
            <a:xfrm>
              <a:off x="9302111" y="1235299"/>
              <a:ext cx="2269066" cy="677334"/>
            </a:xfrm>
            <a:prstGeom prst="roundRect">
              <a:avLst/>
            </a:prstGeom>
            <a:solidFill>
              <a:srgbClr val="FFFFFF"/>
            </a:solidFill>
            <a:ln w="28575">
              <a:solidFill>
                <a:srgbClr val="3266CA"/>
              </a:solidFill>
            </a:ln>
            <a:effectLst>
              <a:outerShdw dist="50800" dir="2700000" algn="tl" rotWithShape="0">
                <a:srgbClr val="3266CA"/>
              </a:outerShdw>
            </a:effectLst>
          </xdr:spPr>
          <xdr:style>
            <a:lnRef idx="3">
              <a:schemeClr val="lt1"/>
            </a:lnRef>
            <a:fillRef idx="1">
              <a:schemeClr val="accent5"/>
            </a:fillRef>
            <a:effectRef idx="1">
              <a:schemeClr val="accent5"/>
            </a:effectRef>
            <a:fontRef idx="minor">
              <a:schemeClr val="lt1"/>
            </a:fontRef>
          </xdr:style>
          <xdr:txBody>
            <a:bodyPr wrap="square" lIns="648000" r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spcBef>
                  <a:spcPts val="1800"/>
                </a:spcBef>
              </a:pPr>
              <a:r>
                <a:rPr lang="es-ES_tradnl" sz="2000">
                  <a:solidFill>
                    <a:schemeClr val="tx1">
                      <a:lumMod val="75000"/>
                      <a:lumOff val="25000"/>
                    </a:schemeClr>
                  </a:solidFill>
                  <a:latin typeface="Arial" panose="020B0604020202020204" pitchFamily="34" charset="0"/>
                  <a:cs typeface="Arial" panose="020B0604020202020204" pitchFamily="34" charset="0"/>
                </a:rPr>
                <a:t>Optimizado</a:t>
              </a:r>
            </a:p>
          </xdr:txBody>
        </xdr:sp>
        <xdr:sp macro="" textlink="">
          <xdr:nvSpPr>
            <xdr:cNvPr id="304" name="Redondear rectángulo de esquina del mismo lado 303">
              <a:extLst>
                <a:ext uri="{FF2B5EF4-FFF2-40B4-BE49-F238E27FC236}">
                  <a16:creationId xmlns:a16="http://schemas.microsoft.com/office/drawing/2014/main" id="{00000000-0008-0000-0100-000030010000}"/>
                </a:ext>
              </a:extLst>
            </xdr:cNvPr>
            <xdr:cNvSpPr/>
          </xdr:nvSpPr>
          <xdr:spPr>
            <a:xfrm rot="16200000">
              <a:off x="9265733" y="1271677"/>
              <a:ext cx="694266" cy="612000"/>
            </a:xfrm>
            <a:prstGeom prst="round2SameRect">
              <a:avLst>
                <a:gd name="adj1" fmla="val 11721"/>
                <a:gd name="adj2" fmla="val 0"/>
              </a:avLst>
            </a:prstGeom>
            <a:solidFill>
              <a:srgbClr val="3266CA"/>
            </a:solidFill>
            <a:ln w="28575">
              <a:noFill/>
            </a:ln>
            <a:effectLst/>
          </xdr:spPr>
          <xdr:style>
            <a:lnRef idx="3">
              <a:schemeClr val="lt1"/>
            </a:lnRef>
            <a:fillRef idx="1">
              <a:schemeClr val="accent5"/>
            </a:fillRef>
            <a:effectRef idx="1">
              <a:schemeClr val="accent5"/>
            </a:effectRef>
            <a:fontRef idx="minor">
              <a:schemeClr val="lt1"/>
            </a:fontRef>
          </xdr:style>
          <xdr:txBody>
            <a:bodyPr vert="vert" wrap="square" lIns="0" tIns="0" rIns="0" b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es-ES_tradnl" sz="1400">
                  <a:solidFill>
                    <a:srgbClr val="FFFFFF"/>
                  </a:solidFill>
                </a:rPr>
                <a:t>NIVEL</a:t>
              </a:r>
            </a:p>
            <a:p>
              <a:pPr algn="ctr"/>
              <a:r>
                <a:rPr lang="es-ES_tradnl" sz="2000">
                  <a:solidFill>
                    <a:srgbClr val="FFFFFF"/>
                  </a:solidFill>
                  <a:latin typeface="+mj-lt"/>
                </a:rPr>
                <a:t>05</a:t>
              </a:r>
            </a:p>
          </xdr:txBody>
        </xdr:sp>
      </xdr:grpSp>
      <xdr:sp macro="" textlink="">
        <xdr:nvSpPr>
          <xdr:cNvPr id="299" name="23 CuadroTexto">
            <a:extLst>
              <a:ext uri="{FF2B5EF4-FFF2-40B4-BE49-F238E27FC236}">
                <a16:creationId xmlns:a16="http://schemas.microsoft.com/office/drawing/2014/main" id="{00000000-0008-0000-0100-00002B010000}"/>
              </a:ext>
            </a:extLst>
          </xdr:cNvPr>
          <xdr:cNvSpPr txBox="1"/>
        </xdr:nvSpPr>
        <xdr:spPr>
          <a:xfrm>
            <a:off x="187201" y="6082738"/>
            <a:ext cx="7997417" cy="581615"/>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r>
              <a:rPr lang="es-CO" sz="1600">
                <a:solidFill>
                  <a:srgbClr val="16B0B5"/>
                </a:solidFill>
              </a:rPr>
              <a:t>*Fuente: Elaboración integrando GAO ( gao.gov A Framework for</a:t>
            </a:r>
          </a:p>
          <a:p>
            <a:r>
              <a:rPr lang="es-CO" sz="1600">
                <a:solidFill>
                  <a:srgbClr val="16B0B5"/>
                </a:solidFill>
              </a:rPr>
              <a:t>Assessing and Improving Enterprise Architecture Management- Version 2.0)y CMMI</a:t>
            </a:r>
          </a:p>
        </xdr:txBody>
      </xdr:sp>
      <xdr:grpSp>
        <xdr:nvGrpSpPr>
          <xdr:cNvPr id="300" name="Grupo 299">
            <a:extLst>
              <a:ext uri="{FF2B5EF4-FFF2-40B4-BE49-F238E27FC236}">
                <a16:creationId xmlns:a16="http://schemas.microsoft.com/office/drawing/2014/main" id="{00000000-0008-0000-0100-00002C010000}"/>
              </a:ext>
            </a:extLst>
          </xdr:cNvPr>
          <xdr:cNvGrpSpPr/>
        </xdr:nvGrpSpPr>
        <xdr:grpSpPr>
          <a:xfrm>
            <a:off x="7068530" y="1899286"/>
            <a:ext cx="2269066" cy="694266"/>
            <a:chOff x="7068530" y="1899286"/>
            <a:chExt cx="2269066" cy="694266"/>
          </a:xfrm>
        </xdr:grpSpPr>
        <xdr:sp macro="" textlink="">
          <xdr:nvSpPr>
            <xdr:cNvPr id="301" name="Rectángulo redondeado 300">
              <a:extLst>
                <a:ext uri="{FF2B5EF4-FFF2-40B4-BE49-F238E27FC236}">
                  <a16:creationId xmlns:a16="http://schemas.microsoft.com/office/drawing/2014/main" id="{00000000-0008-0000-0100-00002D010000}"/>
                </a:ext>
              </a:extLst>
            </xdr:cNvPr>
            <xdr:cNvSpPr/>
          </xdr:nvSpPr>
          <xdr:spPr>
            <a:xfrm>
              <a:off x="7068530" y="1904041"/>
              <a:ext cx="2269066" cy="677334"/>
            </a:xfrm>
            <a:prstGeom prst="roundRect">
              <a:avLst/>
            </a:prstGeom>
            <a:solidFill>
              <a:srgbClr val="FFFFFF"/>
            </a:solidFill>
            <a:ln w="28575">
              <a:solidFill>
                <a:srgbClr val="3266CA"/>
              </a:solidFill>
            </a:ln>
            <a:effectLst>
              <a:outerShdw dist="50800" dir="2700000" algn="tl" rotWithShape="0">
                <a:srgbClr val="3266CA"/>
              </a:outerShdw>
            </a:effectLst>
          </xdr:spPr>
          <xdr:style>
            <a:lnRef idx="3">
              <a:schemeClr val="lt1"/>
            </a:lnRef>
            <a:fillRef idx="1">
              <a:schemeClr val="accent5"/>
            </a:fillRef>
            <a:effectRef idx="1">
              <a:schemeClr val="accent5"/>
            </a:effectRef>
            <a:fontRef idx="minor">
              <a:schemeClr val="lt1"/>
            </a:fontRef>
          </xdr:style>
          <xdr:txBody>
            <a:bodyPr wrap="square" lIns="648000" r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spcBef>
                  <a:spcPts val="1800"/>
                </a:spcBef>
              </a:pPr>
              <a:r>
                <a:rPr lang="es-ES_tradnl" sz="2000">
                  <a:solidFill>
                    <a:schemeClr val="tx1">
                      <a:lumMod val="75000"/>
                      <a:lumOff val="25000"/>
                    </a:schemeClr>
                  </a:solidFill>
                  <a:latin typeface="Arial" panose="020B0604020202020204" pitchFamily="34" charset="0"/>
                  <a:cs typeface="Arial" panose="020B0604020202020204" pitchFamily="34" charset="0"/>
                </a:rPr>
                <a:t>Gestionado</a:t>
              </a:r>
            </a:p>
          </xdr:txBody>
        </xdr:sp>
        <xdr:sp macro="" textlink="">
          <xdr:nvSpPr>
            <xdr:cNvPr id="302" name="Redondear rectángulo de esquina del mismo lado 301">
              <a:extLst>
                <a:ext uri="{FF2B5EF4-FFF2-40B4-BE49-F238E27FC236}">
                  <a16:creationId xmlns:a16="http://schemas.microsoft.com/office/drawing/2014/main" id="{00000000-0008-0000-0100-00002E010000}"/>
                </a:ext>
              </a:extLst>
            </xdr:cNvPr>
            <xdr:cNvSpPr/>
          </xdr:nvSpPr>
          <xdr:spPr>
            <a:xfrm rot="16200000">
              <a:off x="7032152" y="1940419"/>
              <a:ext cx="694266" cy="612000"/>
            </a:xfrm>
            <a:prstGeom prst="round2SameRect">
              <a:avLst>
                <a:gd name="adj1" fmla="val 11721"/>
                <a:gd name="adj2" fmla="val 0"/>
              </a:avLst>
            </a:prstGeom>
            <a:solidFill>
              <a:srgbClr val="3266CA"/>
            </a:solidFill>
            <a:ln w="28575">
              <a:noFill/>
            </a:ln>
            <a:effectLst/>
          </xdr:spPr>
          <xdr:style>
            <a:lnRef idx="3">
              <a:schemeClr val="lt1"/>
            </a:lnRef>
            <a:fillRef idx="1">
              <a:schemeClr val="accent5"/>
            </a:fillRef>
            <a:effectRef idx="1">
              <a:schemeClr val="accent5"/>
            </a:effectRef>
            <a:fontRef idx="minor">
              <a:schemeClr val="lt1"/>
            </a:fontRef>
          </xdr:style>
          <xdr:txBody>
            <a:bodyPr vert="vert" wrap="square" lIns="0" tIns="0" rIns="0" b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es-ES_tradnl" sz="1400">
                  <a:solidFill>
                    <a:srgbClr val="FFFFFF"/>
                  </a:solidFill>
                </a:rPr>
                <a:t>NIVEL</a:t>
              </a:r>
            </a:p>
            <a:p>
              <a:pPr algn="ctr"/>
              <a:r>
                <a:rPr lang="es-ES_tradnl" sz="2000">
                  <a:solidFill>
                    <a:srgbClr val="FFFFFF"/>
                  </a:solidFill>
                  <a:latin typeface="+mj-lt"/>
                </a:rPr>
                <a:t>04</a:t>
              </a:r>
            </a:p>
          </xdr:txBody>
        </xdr:sp>
      </xdr:grpSp>
    </xdr:grpSp>
    <xdr:clientData/>
  </xdr:twoCellAnchor>
  <xdr:twoCellAnchor>
    <xdr:from>
      <xdr:col>2</xdr:col>
      <xdr:colOff>664378</xdr:colOff>
      <xdr:row>92</xdr:row>
      <xdr:rowOff>26238</xdr:rowOff>
    </xdr:from>
    <xdr:to>
      <xdr:col>5</xdr:col>
      <xdr:colOff>982132</xdr:colOff>
      <xdr:row>94</xdr:row>
      <xdr:rowOff>135028</xdr:rowOff>
    </xdr:to>
    <xdr:sp macro="" textlink="">
      <xdr:nvSpPr>
        <xdr:cNvPr id="311" name="Título 2">
          <a:extLst>
            <a:ext uri="{FF2B5EF4-FFF2-40B4-BE49-F238E27FC236}">
              <a16:creationId xmlns:a16="http://schemas.microsoft.com/office/drawing/2014/main" id="{00000000-0008-0000-0100-000037010000}"/>
            </a:ext>
          </a:extLst>
        </xdr:cNvPr>
        <xdr:cNvSpPr>
          <a:spLocks noGrp="1"/>
        </xdr:cNvSpPr>
      </xdr:nvSpPr>
      <xdr:spPr>
        <a:xfrm>
          <a:off x="4220378" y="24257838"/>
          <a:ext cx="8496554" cy="515190"/>
        </a:xfrm>
        <a:prstGeom prst="rect">
          <a:avLst/>
        </a:prstGeom>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45719" rIns="45719" anchor="ctr">
          <a:noAutofit/>
        </a:bodyPr>
        <a:lstStyle>
          <a:lvl1pPr marL="0" marR="0" indent="0" algn="r" defTabSz="914400" rtl="0" latinLnBrk="0">
            <a:lnSpc>
              <a:spcPct val="90000"/>
            </a:lnSpc>
            <a:spcBef>
              <a:spcPts val="0"/>
            </a:spcBef>
            <a:spcAft>
              <a:spcPts val="0"/>
            </a:spcAft>
            <a:buClrTx/>
            <a:buSzTx/>
            <a:buFontTx/>
            <a:buNone/>
            <a:tabLst/>
            <a:defRPr sz="2200" b="1" i="0" u="none" strike="noStrike" cap="none" spc="0" baseline="0">
              <a:solidFill>
                <a:srgbClr val="FFFFFF"/>
              </a:solidFill>
              <a:uFillTx/>
              <a:latin typeface="Work Sans Black"/>
              <a:ea typeface="Work Sans Black"/>
              <a:cs typeface="Work Sans Black"/>
              <a:sym typeface="Work Sans"/>
            </a:defRPr>
          </a:lvl1pPr>
          <a:lvl2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2pPr>
          <a:lvl3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3pPr>
          <a:lvl4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4pPr>
          <a:lvl5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5pPr>
          <a:lvl6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6pPr>
          <a:lvl7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7pPr>
          <a:lvl8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8pPr>
          <a:lvl9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9pPr>
        </a:lstStyle>
        <a:p>
          <a:r>
            <a:rPr lang="es-CO" sz="3600">
              <a:solidFill>
                <a:srgbClr val="3166CA"/>
              </a:solidFill>
            </a:rPr>
            <a:t>Madurez Gestión y Gobierno de TI</a:t>
          </a:r>
        </a:p>
      </xdr:txBody>
    </xdr:sp>
    <xdr:clientData/>
  </xdr:twoCellAnchor>
  <xdr:twoCellAnchor>
    <xdr:from>
      <xdr:col>1</xdr:col>
      <xdr:colOff>2456802</xdr:colOff>
      <xdr:row>99</xdr:row>
      <xdr:rowOff>177173</xdr:rowOff>
    </xdr:from>
    <xdr:to>
      <xdr:col>6</xdr:col>
      <xdr:colOff>461432</xdr:colOff>
      <xdr:row>123</xdr:row>
      <xdr:rowOff>118444</xdr:rowOff>
    </xdr:to>
    <xdr:grpSp>
      <xdr:nvGrpSpPr>
        <xdr:cNvPr id="312" name="Grupo 311">
          <a:extLst>
            <a:ext uri="{FF2B5EF4-FFF2-40B4-BE49-F238E27FC236}">
              <a16:creationId xmlns:a16="http://schemas.microsoft.com/office/drawing/2014/main" id="{00000000-0008-0000-0100-000038010000}"/>
            </a:ext>
          </a:extLst>
        </xdr:cNvPr>
        <xdr:cNvGrpSpPr/>
      </xdr:nvGrpSpPr>
      <xdr:grpSpPr>
        <a:xfrm>
          <a:off x="3288871" y="27733983"/>
          <a:ext cx="11689975" cy="4670927"/>
          <a:chOff x="200567" y="1230544"/>
          <a:chExt cx="11843395" cy="4846098"/>
        </a:xfrm>
      </xdr:grpSpPr>
      <xdr:sp macro="" textlink="">
        <xdr:nvSpPr>
          <xdr:cNvPr id="315" name="Forma libre 314">
            <a:extLst>
              <a:ext uri="{FF2B5EF4-FFF2-40B4-BE49-F238E27FC236}">
                <a16:creationId xmlns:a16="http://schemas.microsoft.com/office/drawing/2014/main" id="{00000000-0008-0000-0100-00003B010000}"/>
              </a:ext>
            </a:extLst>
          </xdr:cNvPr>
          <xdr:cNvSpPr/>
        </xdr:nvSpPr>
        <xdr:spPr>
          <a:xfrm>
            <a:off x="416674" y="4622028"/>
            <a:ext cx="1897980" cy="1454614"/>
          </a:xfrm>
          <a:custGeom>
            <a:avLst/>
            <a:gdLst>
              <a:gd name="connsiteX0" fmla="*/ 0 w 1540933"/>
              <a:gd name="connsiteY0" fmla="*/ 0 h 1202267"/>
              <a:gd name="connsiteX1" fmla="*/ 0 w 1540933"/>
              <a:gd name="connsiteY1" fmla="*/ 1202267 h 1202267"/>
              <a:gd name="connsiteX2" fmla="*/ 1540933 w 1540933"/>
              <a:gd name="connsiteY2" fmla="*/ 1202267 h 1202267"/>
            </a:gdLst>
            <a:ahLst/>
            <a:cxnLst>
              <a:cxn ang="0">
                <a:pos x="connsiteX0" y="connsiteY0"/>
              </a:cxn>
              <a:cxn ang="0">
                <a:pos x="connsiteX1" y="connsiteY1"/>
              </a:cxn>
              <a:cxn ang="0">
                <a:pos x="connsiteX2" y="connsiteY2"/>
              </a:cxn>
            </a:cxnLst>
            <a:rect l="l" t="t" r="r" b="b"/>
            <a:pathLst>
              <a:path w="1540933" h="1202267">
                <a:moveTo>
                  <a:pt x="0" y="0"/>
                </a:moveTo>
                <a:lnTo>
                  <a:pt x="0" y="1202267"/>
                </a:lnTo>
                <a:lnTo>
                  <a:pt x="1540933" y="1202267"/>
                </a:lnTo>
              </a:path>
            </a:pathLst>
          </a:custGeom>
          <a:noFill/>
          <a:ln>
            <a:solidFill>
              <a:srgbClr val="F654A1"/>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p>
        </xdr:txBody>
      </xdr:sp>
      <xdr:sp macro="" textlink="">
        <xdr:nvSpPr>
          <xdr:cNvPr id="316" name="Forma libre 315">
            <a:extLst>
              <a:ext uri="{FF2B5EF4-FFF2-40B4-BE49-F238E27FC236}">
                <a16:creationId xmlns:a16="http://schemas.microsoft.com/office/drawing/2014/main" id="{00000000-0008-0000-0100-00003C010000}"/>
              </a:ext>
            </a:extLst>
          </xdr:cNvPr>
          <xdr:cNvSpPr/>
        </xdr:nvSpPr>
        <xdr:spPr>
          <a:xfrm>
            <a:off x="2719606" y="3775883"/>
            <a:ext cx="1962885" cy="2300637"/>
          </a:xfrm>
          <a:custGeom>
            <a:avLst/>
            <a:gdLst>
              <a:gd name="connsiteX0" fmla="*/ 0 w 1540933"/>
              <a:gd name="connsiteY0" fmla="*/ 0 h 1202267"/>
              <a:gd name="connsiteX1" fmla="*/ 0 w 1540933"/>
              <a:gd name="connsiteY1" fmla="*/ 1202267 h 1202267"/>
              <a:gd name="connsiteX2" fmla="*/ 1540933 w 1540933"/>
              <a:gd name="connsiteY2" fmla="*/ 1202267 h 1202267"/>
            </a:gdLst>
            <a:ahLst/>
            <a:cxnLst>
              <a:cxn ang="0">
                <a:pos x="connsiteX0" y="connsiteY0"/>
              </a:cxn>
              <a:cxn ang="0">
                <a:pos x="connsiteX1" y="connsiteY1"/>
              </a:cxn>
              <a:cxn ang="0">
                <a:pos x="connsiteX2" y="connsiteY2"/>
              </a:cxn>
            </a:cxnLst>
            <a:rect l="l" t="t" r="r" b="b"/>
            <a:pathLst>
              <a:path w="1540933" h="1202267">
                <a:moveTo>
                  <a:pt x="0" y="0"/>
                </a:moveTo>
                <a:lnTo>
                  <a:pt x="0" y="1202267"/>
                </a:lnTo>
                <a:lnTo>
                  <a:pt x="1540933" y="1202267"/>
                </a:lnTo>
              </a:path>
            </a:pathLst>
          </a:custGeom>
          <a:noFill/>
          <a:ln>
            <a:solidFill>
              <a:srgbClr val="F654A1"/>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p>
        </xdr:txBody>
      </xdr:sp>
      <xdr:sp macro="" textlink="">
        <xdr:nvSpPr>
          <xdr:cNvPr id="317" name="Forma libre 316">
            <a:extLst>
              <a:ext uri="{FF2B5EF4-FFF2-40B4-BE49-F238E27FC236}">
                <a16:creationId xmlns:a16="http://schemas.microsoft.com/office/drawing/2014/main" id="{00000000-0008-0000-0100-00003D010000}"/>
              </a:ext>
            </a:extLst>
          </xdr:cNvPr>
          <xdr:cNvSpPr/>
        </xdr:nvSpPr>
        <xdr:spPr>
          <a:xfrm>
            <a:off x="5064873" y="2987439"/>
            <a:ext cx="1926167" cy="3089081"/>
          </a:xfrm>
          <a:custGeom>
            <a:avLst/>
            <a:gdLst>
              <a:gd name="connsiteX0" fmla="*/ 0 w 1540933"/>
              <a:gd name="connsiteY0" fmla="*/ 0 h 1202267"/>
              <a:gd name="connsiteX1" fmla="*/ 0 w 1540933"/>
              <a:gd name="connsiteY1" fmla="*/ 1202267 h 1202267"/>
              <a:gd name="connsiteX2" fmla="*/ 1540933 w 1540933"/>
              <a:gd name="connsiteY2" fmla="*/ 1202267 h 1202267"/>
            </a:gdLst>
            <a:ahLst/>
            <a:cxnLst>
              <a:cxn ang="0">
                <a:pos x="connsiteX0" y="connsiteY0"/>
              </a:cxn>
              <a:cxn ang="0">
                <a:pos x="connsiteX1" y="connsiteY1"/>
              </a:cxn>
              <a:cxn ang="0">
                <a:pos x="connsiteX2" y="connsiteY2"/>
              </a:cxn>
            </a:cxnLst>
            <a:rect l="l" t="t" r="r" b="b"/>
            <a:pathLst>
              <a:path w="1540933" h="1202267">
                <a:moveTo>
                  <a:pt x="0" y="0"/>
                </a:moveTo>
                <a:lnTo>
                  <a:pt x="0" y="1202267"/>
                </a:lnTo>
                <a:lnTo>
                  <a:pt x="1540933" y="1202267"/>
                </a:lnTo>
              </a:path>
            </a:pathLst>
          </a:custGeom>
          <a:noFill/>
          <a:ln>
            <a:solidFill>
              <a:srgbClr val="F654A1"/>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p>
        </xdr:txBody>
      </xdr:sp>
      <xdr:sp macro="" textlink="">
        <xdr:nvSpPr>
          <xdr:cNvPr id="318" name="Forma libre 317">
            <a:extLst>
              <a:ext uri="{FF2B5EF4-FFF2-40B4-BE49-F238E27FC236}">
                <a16:creationId xmlns:a16="http://schemas.microsoft.com/office/drawing/2014/main" id="{00000000-0008-0000-0100-00003E010000}"/>
              </a:ext>
            </a:extLst>
          </xdr:cNvPr>
          <xdr:cNvSpPr/>
        </xdr:nvSpPr>
        <xdr:spPr>
          <a:xfrm>
            <a:off x="7372039" y="2149239"/>
            <a:ext cx="2065703" cy="3927282"/>
          </a:xfrm>
          <a:custGeom>
            <a:avLst/>
            <a:gdLst>
              <a:gd name="connsiteX0" fmla="*/ 0 w 1540933"/>
              <a:gd name="connsiteY0" fmla="*/ 0 h 1202267"/>
              <a:gd name="connsiteX1" fmla="*/ 0 w 1540933"/>
              <a:gd name="connsiteY1" fmla="*/ 1202267 h 1202267"/>
              <a:gd name="connsiteX2" fmla="*/ 1540933 w 1540933"/>
              <a:gd name="connsiteY2" fmla="*/ 1202267 h 1202267"/>
            </a:gdLst>
            <a:ahLst/>
            <a:cxnLst>
              <a:cxn ang="0">
                <a:pos x="connsiteX0" y="connsiteY0"/>
              </a:cxn>
              <a:cxn ang="0">
                <a:pos x="connsiteX1" y="connsiteY1"/>
              </a:cxn>
              <a:cxn ang="0">
                <a:pos x="connsiteX2" y="connsiteY2"/>
              </a:cxn>
            </a:cxnLst>
            <a:rect l="l" t="t" r="r" b="b"/>
            <a:pathLst>
              <a:path w="1540933" h="1202267">
                <a:moveTo>
                  <a:pt x="0" y="0"/>
                </a:moveTo>
                <a:lnTo>
                  <a:pt x="0" y="1202267"/>
                </a:lnTo>
                <a:lnTo>
                  <a:pt x="1540933" y="1202267"/>
                </a:lnTo>
              </a:path>
            </a:pathLst>
          </a:custGeom>
          <a:noFill/>
          <a:ln>
            <a:solidFill>
              <a:srgbClr val="F654A1"/>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p>
        </xdr:txBody>
      </xdr:sp>
      <xdr:sp macro="" textlink="">
        <xdr:nvSpPr>
          <xdr:cNvPr id="319" name="Forma libre 318">
            <a:extLst>
              <a:ext uri="{FF2B5EF4-FFF2-40B4-BE49-F238E27FC236}">
                <a16:creationId xmlns:a16="http://schemas.microsoft.com/office/drawing/2014/main" id="{00000000-0008-0000-0100-00003F010000}"/>
              </a:ext>
            </a:extLst>
          </xdr:cNvPr>
          <xdr:cNvSpPr/>
        </xdr:nvSpPr>
        <xdr:spPr>
          <a:xfrm>
            <a:off x="9667026" y="1311038"/>
            <a:ext cx="1926167" cy="4765481"/>
          </a:xfrm>
          <a:custGeom>
            <a:avLst/>
            <a:gdLst>
              <a:gd name="connsiteX0" fmla="*/ 0 w 1540933"/>
              <a:gd name="connsiteY0" fmla="*/ 0 h 1202267"/>
              <a:gd name="connsiteX1" fmla="*/ 0 w 1540933"/>
              <a:gd name="connsiteY1" fmla="*/ 1202267 h 1202267"/>
              <a:gd name="connsiteX2" fmla="*/ 1540933 w 1540933"/>
              <a:gd name="connsiteY2" fmla="*/ 1202267 h 1202267"/>
            </a:gdLst>
            <a:ahLst/>
            <a:cxnLst>
              <a:cxn ang="0">
                <a:pos x="connsiteX0" y="connsiteY0"/>
              </a:cxn>
              <a:cxn ang="0">
                <a:pos x="connsiteX1" y="connsiteY1"/>
              </a:cxn>
              <a:cxn ang="0">
                <a:pos x="connsiteX2" y="connsiteY2"/>
              </a:cxn>
            </a:cxnLst>
            <a:rect l="l" t="t" r="r" b="b"/>
            <a:pathLst>
              <a:path w="1540933" h="1202267">
                <a:moveTo>
                  <a:pt x="0" y="0"/>
                </a:moveTo>
                <a:lnTo>
                  <a:pt x="0" y="1202267"/>
                </a:lnTo>
                <a:lnTo>
                  <a:pt x="1540933" y="1202267"/>
                </a:lnTo>
              </a:path>
            </a:pathLst>
          </a:custGeom>
          <a:noFill/>
          <a:ln>
            <a:solidFill>
              <a:srgbClr val="F654A1"/>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p>
        </xdr:txBody>
      </xdr:sp>
      <xdr:sp macro="" textlink="">
        <xdr:nvSpPr>
          <xdr:cNvPr id="320" name="CuadroTexto 21">
            <a:extLst>
              <a:ext uri="{FF2B5EF4-FFF2-40B4-BE49-F238E27FC236}">
                <a16:creationId xmlns:a16="http://schemas.microsoft.com/office/drawing/2014/main" id="{00000000-0008-0000-0100-000040010000}"/>
              </a:ext>
            </a:extLst>
          </xdr:cNvPr>
          <xdr:cNvSpPr txBox="1"/>
        </xdr:nvSpPr>
        <xdr:spPr>
          <a:xfrm>
            <a:off x="2815126" y="4137527"/>
            <a:ext cx="2227525" cy="1195058"/>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r>
              <a:rPr lang="es-CO" sz="1400"/>
              <a:t>La gestión de TI permite que las áreas cumplan con sus actividades haciendo uso de la tecnología</a:t>
            </a:r>
          </a:p>
          <a:p>
            <a:endParaRPr lang="es-CO" sz="1400"/>
          </a:p>
        </xdr:txBody>
      </xdr:sp>
      <xdr:sp macro="" textlink="">
        <xdr:nvSpPr>
          <xdr:cNvPr id="321" name="CuadroTexto 22">
            <a:extLst>
              <a:ext uri="{FF2B5EF4-FFF2-40B4-BE49-F238E27FC236}">
                <a16:creationId xmlns:a16="http://schemas.microsoft.com/office/drawing/2014/main" id="{00000000-0008-0000-0100-000041010000}"/>
              </a:ext>
            </a:extLst>
          </xdr:cNvPr>
          <xdr:cNvSpPr txBox="1"/>
        </xdr:nvSpPr>
        <xdr:spPr>
          <a:xfrm>
            <a:off x="5224091" y="3390303"/>
            <a:ext cx="2065703" cy="974620"/>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r>
              <a:rPr lang="es-CO" sz="1400"/>
              <a:t>La gestión de TI contribuye al logro de los objetivos del negocio</a:t>
            </a:r>
          </a:p>
          <a:p>
            <a:endParaRPr lang="es-CO" sz="1400"/>
          </a:p>
        </xdr:txBody>
      </xdr:sp>
      <xdr:sp macro="" textlink="">
        <xdr:nvSpPr>
          <xdr:cNvPr id="322" name="CuadroTexto 23">
            <a:extLst>
              <a:ext uri="{FF2B5EF4-FFF2-40B4-BE49-F238E27FC236}">
                <a16:creationId xmlns:a16="http://schemas.microsoft.com/office/drawing/2014/main" id="{00000000-0008-0000-0100-000042010000}"/>
              </a:ext>
            </a:extLst>
          </xdr:cNvPr>
          <xdr:cNvSpPr txBox="1"/>
        </xdr:nvSpPr>
        <xdr:spPr>
          <a:xfrm>
            <a:off x="7384506" y="2717921"/>
            <a:ext cx="1951884" cy="1373482"/>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r>
              <a:rPr lang="es-CO" sz="1400"/>
              <a:t>La gestión de TI es un factor que se convierte en una ventaja competitiva o en un diferenciador</a:t>
            </a:r>
          </a:p>
          <a:p>
            <a:endParaRPr lang="es-CO" sz="1400"/>
          </a:p>
        </xdr:txBody>
      </xdr:sp>
      <xdr:sp macro="" textlink="">
        <xdr:nvSpPr>
          <xdr:cNvPr id="323" name="CuadroTexto 24">
            <a:extLst>
              <a:ext uri="{FF2B5EF4-FFF2-40B4-BE49-F238E27FC236}">
                <a16:creationId xmlns:a16="http://schemas.microsoft.com/office/drawing/2014/main" id="{00000000-0008-0000-0100-000043010000}"/>
              </a:ext>
            </a:extLst>
          </xdr:cNvPr>
          <xdr:cNvSpPr txBox="1"/>
        </xdr:nvSpPr>
        <xdr:spPr>
          <a:xfrm>
            <a:off x="9718595" y="2048704"/>
            <a:ext cx="2325367" cy="945693"/>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r>
              <a:rPr lang="es-CO" sz="1400"/>
              <a:t>La gestión de TI transforma la entidad, el sector y la relación entre los actores y su dinámica</a:t>
            </a:r>
          </a:p>
        </xdr:txBody>
      </xdr:sp>
      <xdr:sp macro="" textlink="">
        <xdr:nvSpPr>
          <xdr:cNvPr id="324" name="Flecha curva 323">
            <a:extLst>
              <a:ext uri="{FF2B5EF4-FFF2-40B4-BE49-F238E27FC236}">
                <a16:creationId xmlns:a16="http://schemas.microsoft.com/office/drawing/2014/main" id="{00000000-0008-0000-0100-000044010000}"/>
              </a:ext>
            </a:extLst>
          </xdr:cNvPr>
          <xdr:cNvSpPr/>
        </xdr:nvSpPr>
        <xdr:spPr>
          <a:xfrm>
            <a:off x="1275872" y="3414371"/>
            <a:ext cx="1209259" cy="636040"/>
          </a:xfrm>
          <a:prstGeom prst="bentArrow">
            <a:avLst>
              <a:gd name="adj1" fmla="val 13650"/>
              <a:gd name="adj2" fmla="val 25000"/>
              <a:gd name="adj3" fmla="val 32567"/>
              <a:gd name="adj4" fmla="val 43750"/>
            </a:avLst>
          </a:prstGeom>
          <a:solidFill>
            <a:srgbClr val="F654A1"/>
          </a:solidFill>
          <a:ln>
            <a:solidFill>
              <a:srgbClr val="F654A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solidFill>
                <a:schemeClr val="tx1"/>
              </a:solidFill>
            </a:endParaRPr>
          </a:p>
        </xdr:txBody>
      </xdr:sp>
      <xdr:sp macro="" textlink="">
        <xdr:nvSpPr>
          <xdr:cNvPr id="325" name="CuadroTexto 25">
            <a:extLst>
              <a:ext uri="{FF2B5EF4-FFF2-40B4-BE49-F238E27FC236}">
                <a16:creationId xmlns:a16="http://schemas.microsoft.com/office/drawing/2014/main" id="{00000000-0008-0000-0100-000045010000}"/>
              </a:ext>
            </a:extLst>
          </xdr:cNvPr>
          <xdr:cNvSpPr txBox="1"/>
        </xdr:nvSpPr>
        <xdr:spPr>
          <a:xfrm>
            <a:off x="485453" y="5137282"/>
            <a:ext cx="2222375" cy="535710"/>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pPr fontAlgn="t"/>
            <a:r>
              <a:rPr lang="es-CO" sz="1400">
                <a:solidFill>
                  <a:schemeClr val="tx1">
                    <a:lumMod val="75000"/>
                    <a:lumOff val="25000"/>
                  </a:schemeClr>
                </a:solidFill>
              </a:rPr>
              <a:t>Existe un área que cumple las funciones de TI</a:t>
            </a:r>
          </a:p>
        </xdr:txBody>
      </xdr:sp>
      <xdr:sp macro="" textlink="">
        <xdr:nvSpPr>
          <xdr:cNvPr id="326" name="Flecha curva 325">
            <a:extLst>
              <a:ext uri="{FF2B5EF4-FFF2-40B4-BE49-F238E27FC236}">
                <a16:creationId xmlns:a16="http://schemas.microsoft.com/office/drawing/2014/main" id="{00000000-0008-0000-0100-000046010000}"/>
              </a:ext>
            </a:extLst>
          </xdr:cNvPr>
          <xdr:cNvSpPr/>
        </xdr:nvSpPr>
        <xdr:spPr>
          <a:xfrm>
            <a:off x="3549326" y="2690232"/>
            <a:ext cx="1209259" cy="636040"/>
          </a:xfrm>
          <a:prstGeom prst="bentArrow">
            <a:avLst>
              <a:gd name="adj1" fmla="val 13650"/>
              <a:gd name="adj2" fmla="val 25000"/>
              <a:gd name="adj3" fmla="val 32567"/>
              <a:gd name="adj4" fmla="val 43750"/>
            </a:avLst>
          </a:prstGeom>
          <a:solidFill>
            <a:srgbClr val="F654A1"/>
          </a:solidFill>
          <a:ln>
            <a:solidFill>
              <a:srgbClr val="F654A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solidFill>
                <a:schemeClr val="tx1"/>
              </a:solidFill>
            </a:endParaRPr>
          </a:p>
        </xdr:txBody>
      </xdr:sp>
      <xdr:sp macro="" textlink="">
        <xdr:nvSpPr>
          <xdr:cNvPr id="327" name="Flecha curva 326">
            <a:extLst>
              <a:ext uri="{FF2B5EF4-FFF2-40B4-BE49-F238E27FC236}">
                <a16:creationId xmlns:a16="http://schemas.microsoft.com/office/drawing/2014/main" id="{00000000-0008-0000-0100-000047010000}"/>
              </a:ext>
            </a:extLst>
          </xdr:cNvPr>
          <xdr:cNvSpPr/>
        </xdr:nvSpPr>
        <xdr:spPr>
          <a:xfrm>
            <a:off x="5828214" y="1976783"/>
            <a:ext cx="1209259" cy="636040"/>
          </a:xfrm>
          <a:prstGeom prst="bentArrow">
            <a:avLst>
              <a:gd name="adj1" fmla="val 13650"/>
              <a:gd name="adj2" fmla="val 25000"/>
              <a:gd name="adj3" fmla="val 32567"/>
              <a:gd name="adj4" fmla="val 43750"/>
            </a:avLst>
          </a:prstGeom>
          <a:solidFill>
            <a:srgbClr val="F654A1"/>
          </a:solidFill>
          <a:ln>
            <a:solidFill>
              <a:srgbClr val="F654A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solidFill>
                <a:schemeClr val="tx1"/>
              </a:solidFill>
            </a:endParaRPr>
          </a:p>
        </xdr:txBody>
      </xdr:sp>
      <xdr:sp macro="" textlink="">
        <xdr:nvSpPr>
          <xdr:cNvPr id="328" name="Flecha curva 327">
            <a:extLst>
              <a:ext uri="{FF2B5EF4-FFF2-40B4-BE49-F238E27FC236}">
                <a16:creationId xmlns:a16="http://schemas.microsoft.com/office/drawing/2014/main" id="{00000000-0008-0000-0100-000048010000}"/>
              </a:ext>
            </a:extLst>
          </xdr:cNvPr>
          <xdr:cNvSpPr/>
        </xdr:nvSpPr>
        <xdr:spPr>
          <a:xfrm>
            <a:off x="8050272" y="1256071"/>
            <a:ext cx="1209259" cy="636040"/>
          </a:xfrm>
          <a:prstGeom prst="bentArrow">
            <a:avLst>
              <a:gd name="adj1" fmla="val 13650"/>
              <a:gd name="adj2" fmla="val 25000"/>
              <a:gd name="adj3" fmla="val 32567"/>
              <a:gd name="adj4" fmla="val 43750"/>
            </a:avLst>
          </a:prstGeom>
          <a:solidFill>
            <a:srgbClr val="F654A1"/>
          </a:solidFill>
          <a:ln>
            <a:solidFill>
              <a:srgbClr val="F654A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solidFill>
                <a:schemeClr val="tx1"/>
              </a:solidFill>
            </a:endParaRPr>
          </a:p>
        </xdr:txBody>
      </xdr:sp>
      <xdr:grpSp>
        <xdr:nvGrpSpPr>
          <xdr:cNvPr id="329" name="Grupo 328">
            <a:extLst>
              <a:ext uri="{FF2B5EF4-FFF2-40B4-BE49-F238E27FC236}">
                <a16:creationId xmlns:a16="http://schemas.microsoft.com/office/drawing/2014/main" id="{00000000-0008-0000-0100-000049010000}"/>
              </a:ext>
            </a:extLst>
          </xdr:cNvPr>
          <xdr:cNvGrpSpPr/>
        </xdr:nvGrpSpPr>
        <xdr:grpSpPr>
          <a:xfrm>
            <a:off x="200567" y="3913523"/>
            <a:ext cx="2269066" cy="694266"/>
            <a:chOff x="69540" y="4408206"/>
            <a:chExt cx="2269066" cy="694266"/>
          </a:xfrm>
        </xdr:grpSpPr>
        <xdr:sp macro="" textlink="">
          <xdr:nvSpPr>
            <xdr:cNvPr id="342" name="Rectángulo redondeado 341">
              <a:extLst>
                <a:ext uri="{FF2B5EF4-FFF2-40B4-BE49-F238E27FC236}">
                  <a16:creationId xmlns:a16="http://schemas.microsoft.com/office/drawing/2014/main" id="{00000000-0008-0000-0100-000056010000}"/>
                </a:ext>
              </a:extLst>
            </xdr:cNvPr>
            <xdr:cNvSpPr/>
          </xdr:nvSpPr>
          <xdr:spPr>
            <a:xfrm>
              <a:off x="69540" y="4412961"/>
              <a:ext cx="2269066" cy="677334"/>
            </a:xfrm>
            <a:prstGeom prst="roundRect">
              <a:avLst/>
            </a:prstGeom>
            <a:solidFill>
              <a:srgbClr val="FFFFFF"/>
            </a:solidFill>
            <a:ln w="28575">
              <a:solidFill>
                <a:srgbClr val="3266CA"/>
              </a:solidFill>
            </a:ln>
            <a:effectLst>
              <a:outerShdw dist="50800" dir="2700000" algn="tl" rotWithShape="0">
                <a:srgbClr val="3266CA"/>
              </a:outerShdw>
            </a:effectLst>
          </xdr:spPr>
          <xdr:style>
            <a:lnRef idx="3">
              <a:schemeClr val="lt1"/>
            </a:lnRef>
            <a:fillRef idx="1">
              <a:schemeClr val="accent5"/>
            </a:fillRef>
            <a:effectRef idx="1">
              <a:schemeClr val="accent5"/>
            </a:effectRef>
            <a:fontRef idx="minor">
              <a:schemeClr val="lt1"/>
            </a:fontRef>
          </xdr:style>
          <xdr:txBody>
            <a:bodyPr wrap="square" lIns="648000" r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spcBef>
                  <a:spcPts val="1800"/>
                </a:spcBef>
              </a:pPr>
              <a:r>
                <a:rPr lang="es-ES_tradnl" sz="2000">
                  <a:solidFill>
                    <a:schemeClr val="tx1">
                      <a:lumMod val="75000"/>
                      <a:lumOff val="25000"/>
                    </a:schemeClr>
                  </a:solidFill>
                  <a:latin typeface="Arial" panose="020B0604020202020204" pitchFamily="34" charset="0"/>
                  <a:cs typeface="Arial" panose="020B0604020202020204" pitchFamily="34" charset="0"/>
                </a:rPr>
                <a:t>Funcional</a:t>
              </a:r>
            </a:p>
          </xdr:txBody>
        </xdr:sp>
        <xdr:sp macro="" textlink="">
          <xdr:nvSpPr>
            <xdr:cNvPr id="343" name="Redondear rectángulo de esquina del mismo lado 342">
              <a:extLst>
                <a:ext uri="{FF2B5EF4-FFF2-40B4-BE49-F238E27FC236}">
                  <a16:creationId xmlns:a16="http://schemas.microsoft.com/office/drawing/2014/main" id="{00000000-0008-0000-0100-000057010000}"/>
                </a:ext>
              </a:extLst>
            </xdr:cNvPr>
            <xdr:cNvSpPr/>
          </xdr:nvSpPr>
          <xdr:spPr>
            <a:xfrm rot="16200000">
              <a:off x="33162" y="4449339"/>
              <a:ext cx="694266" cy="612000"/>
            </a:xfrm>
            <a:prstGeom prst="round2SameRect">
              <a:avLst>
                <a:gd name="adj1" fmla="val 11721"/>
                <a:gd name="adj2" fmla="val 0"/>
              </a:avLst>
            </a:prstGeom>
            <a:solidFill>
              <a:srgbClr val="3266CA"/>
            </a:solidFill>
            <a:ln w="28575">
              <a:noFill/>
            </a:ln>
            <a:effectLst/>
          </xdr:spPr>
          <xdr:style>
            <a:lnRef idx="3">
              <a:schemeClr val="lt1"/>
            </a:lnRef>
            <a:fillRef idx="1">
              <a:schemeClr val="accent5"/>
            </a:fillRef>
            <a:effectRef idx="1">
              <a:schemeClr val="accent5"/>
            </a:effectRef>
            <a:fontRef idx="minor">
              <a:schemeClr val="lt1"/>
            </a:fontRef>
          </xdr:style>
          <xdr:txBody>
            <a:bodyPr vert="vert" wrap="square" lIns="0" tIns="0" rIns="0" b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es-ES_tradnl" sz="1400">
                  <a:solidFill>
                    <a:srgbClr val="FFFFFF"/>
                  </a:solidFill>
                </a:rPr>
                <a:t>NIVEL</a:t>
              </a:r>
            </a:p>
            <a:p>
              <a:pPr algn="ctr"/>
              <a:r>
                <a:rPr lang="es-ES_tradnl" sz="2000">
                  <a:solidFill>
                    <a:srgbClr val="FFFFFF"/>
                  </a:solidFill>
                  <a:latin typeface="+mj-lt"/>
                </a:rPr>
                <a:t>01</a:t>
              </a:r>
            </a:p>
          </xdr:txBody>
        </xdr:sp>
      </xdr:grpSp>
      <xdr:grpSp>
        <xdr:nvGrpSpPr>
          <xdr:cNvPr id="330" name="Grupo 329">
            <a:extLst>
              <a:ext uri="{FF2B5EF4-FFF2-40B4-BE49-F238E27FC236}">
                <a16:creationId xmlns:a16="http://schemas.microsoft.com/office/drawing/2014/main" id="{00000000-0008-0000-0100-00004A010000}"/>
              </a:ext>
            </a:extLst>
          </xdr:cNvPr>
          <xdr:cNvGrpSpPr/>
        </xdr:nvGrpSpPr>
        <xdr:grpSpPr>
          <a:xfrm>
            <a:off x="2506413" y="3270921"/>
            <a:ext cx="2269066" cy="694266"/>
            <a:chOff x="69540" y="4408206"/>
            <a:chExt cx="2269066" cy="694266"/>
          </a:xfrm>
        </xdr:grpSpPr>
        <xdr:sp macro="" textlink="">
          <xdr:nvSpPr>
            <xdr:cNvPr id="340" name="Rectángulo redondeado 339">
              <a:extLst>
                <a:ext uri="{FF2B5EF4-FFF2-40B4-BE49-F238E27FC236}">
                  <a16:creationId xmlns:a16="http://schemas.microsoft.com/office/drawing/2014/main" id="{00000000-0008-0000-0100-000054010000}"/>
                </a:ext>
              </a:extLst>
            </xdr:cNvPr>
            <xdr:cNvSpPr/>
          </xdr:nvSpPr>
          <xdr:spPr>
            <a:xfrm>
              <a:off x="69540" y="4412961"/>
              <a:ext cx="2269066" cy="677334"/>
            </a:xfrm>
            <a:prstGeom prst="roundRect">
              <a:avLst/>
            </a:prstGeom>
            <a:solidFill>
              <a:srgbClr val="FFFFFF"/>
            </a:solidFill>
            <a:ln w="28575">
              <a:solidFill>
                <a:srgbClr val="3266CA"/>
              </a:solidFill>
            </a:ln>
            <a:effectLst>
              <a:outerShdw dist="50800" dir="2700000" algn="tl" rotWithShape="0">
                <a:srgbClr val="3266CA"/>
              </a:outerShdw>
            </a:effectLst>
          </xdr:spPr>
          <xdr:style>
            <a:lnRef idx="3">
              <a:schemeClr val="lt1"/>
            </a:lnRef>
            <a:fillRef idx="1">
              <a:schemeClr val="accent5"/>
            </a:fillRef>
            <a:effectRef idx="1">
              <a:schemeClr val="accent5"/>
            </a:effectRef>
            <a:fontRef idx="minor">
              <a:schemeClr val="lt1"/>
            </a:fontRef>
          </xdr:style>
          <xdr:txBody>
            <a:bodyPr wrap="square" lIns="648000" r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spcBef>
                  <a:spcPts val="1800"/>
                </a:spcBef>
              </a:pPr>
              <a:r>
                <a:rPr lang="es-ES_tradnl" sz="2000">
                  <a:solidFill>
                    <a:schemeClr val="tx1">
                      <a:lumMod val="75000"/>
                      <a:lumOff val="25000"/>
                    </a:schemeClr>
                  </a:solidFill>
                  <a:latin typeface="Arial" panose="020B0604020202020204" pitchFamily="34" charset="0"/>
                  <a:cs typeface="Arial" panose="020B0604020202020204" pitchFamily="34" charset="0"/>
                </a:rPr>
                <a:t>Habilitador</a:t>
              </a:r>
            </a:p>
          </xdr:txBody>
        </xdr:sp>
        <xdr:sp macro="" textlink="">
          <xdr:nvSpPr>
            <xdr:cNvPr id="341" name="Redondear rectángulo de esquina del mismo lado 340">
              <a:extLst>
                <a:ext uri="{FF2B5EF4-FFF2-40B4-BE49-F238E27FC236}">
                  <a16:creationId xmlns:a16="http://schemas.microsoft.com/office/drawing/2014/main" id="{00000000-0008-0000-0100-000055010000}"/>
                </a:ext>
              </a:extLst>
            </xdr:cNvPr>
            <xdr:cNvSpPr/>
          </xdr:nvSpPr>
          <xdr:spPr>
            <a:xfrm rot="16200000">
              <a:off x="33162" y="4449339"/>
              <a:ext cx="694266" cy="612000"/>
            </a:xfrm>
            <a:prstGeom prst="round2SameRect">
              <a:avLst>
                <a:gd name="adj1" fmla="val 11721"/>
                <a:gd name="adj2" fmla="val 0"/>
              </a:avLst>
            </a:prstGeom>
            <a:solidFill>
              <a:srgbClr val="3266CA"/>
            </a:solidFill>
            <a:ln w="28575">
              <a:noFill/>
            </a:ln>
            <a:effectLst/>
          </xdr:spPr>
          <xdr:style>
            <a:lnRef idx="3">
              <a:schemeClr val="lt1"/>
            </a:lnRef>
            <a:fillRef idx="1">
              <a:schemeClr val="accent5"/>
            </a:fillRef>
            <a:effectRef idx="1">
              <a:schemeClr val="accent5"/>
            </a:effectRef>
            <a:fontRef idx="minor">
              <a:schemeClr val="lt1"/>
            </a:fontRef>
          </xdr:style>
          <xdr:txBody>
            <a:bodyPr vert="vert" wrap="square" lIns="0" tIns="0" rIns="0" b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es-ES_tradnl" sz="1400">
                  <a:solidFill>
                    <a:srgbClr val="FFFFFF"/>
                  </a:solidFill>
                </a:rPr>
                <a:t>NIVEL</a:t>
              </a:r>
            </a:p>
            <a:p>
              <a:pPr algn="ctr"/>
              <a:r>
                <a:rPr lang="es-ES_tradnl" sz="2000">
                  <a:solidFill>
                    <a:srgbClr val="FFFFFF"/>
                  </a:solidFill>
                  <a:latin typeface="+mj-lt"/>
                </a:rPr>
                <a:t>02</a:t>
              </a:r>
            </a:p>
          </xdr:txBody>
        </xdr:sp>
      </xdr:grpSp>
      <xdr:grpSp>
        <xdr:nvGrpSpPr>
          <xdr:cNvPr id="331" name="Grupo 330">
            <a:extLst>
              <a:ext uri="{FF2B5EF4-FFF2-40B4-BE49-F238E27FC236}">
                <a16:creationId xmlns:a16="http://schemas.microsoft.com/office/drawing/2014/main" id="{00000000-0008-0000-0100-00004B010000}"/>
              </a:ext>
            </a:extLst>
          </xdr:cNvPr>
          <xdr:cNvGrpSpPr/>
        </xdr:nvGrpSpPr>
        <xdr:grpSpPr>
          <a:xfrm>
            <a:off x="4790977" y="2577056"/>
            <a:ext cx="2269066" cy="694266"/>
            <a:chOff x="69540" y="4408206"/>
            <a:chExt cx="2269066" cy="694266"/>
          </a:xfrm>
        </xdr:grpSpPr>
        <xdr:sp macro="" textlink="">
          <xdr:nvSpPr>
            <xdr:cNvPr id="338" name="Rectángulo redondeado 337">
              <a:extLst>
                <a:ext uri="{FF2B5EF4-FFF2-40B4-BE49-F238E27FC236}">
                  <a16:creationId xmlns:a16="http://schemas.microsoft.com/office/drawing/2014/main" id="{00000000-0008-0000-0100-000052010000}"/>
                </a:ext>
              </a:extLst>
            </xdr:cNvPr>
            <xdr:cNvSpPr/>
          </xdr:nvSpPr>
          <xdr:spPr>
            <a:xfrm>
              <a:off x="69540" y="4412961"/>
              <a:ext cx="2269066" cy="677334"/>
            </a:xfrm>
            <a:prstGeom prst="roundRect">
              <a:avLst/>
            </a:prstGeom>
            <a:solidFill>
              <a:srgbClr val="FFFFFF"/>
            </a:solidFill>
            <a:ln w="28575">
              <a:solidFill>
                <a:srgbClr val="3266CA"/>
              </a:solidFill>
            </a:ln>
            <a:effectLst>
              <a:outerShdw dist="50800" dir="2700000" algn="tl" rotWithShape="0">
                <a:srgbClr val="3266CA"/>
              </a:outerShdw>
            </a:effectLst>
          </xdr:spPr>
          <xdr:style>
            <a:lnRef idx="3">
              <a:schemeClr val="lt1"/>
            </a:lnRef>
            <a:fillRef idx="1">
              <a:schemeClr val="accent5"/>
            </a:fillRef>
            <a:effectRef idx="1">
              <a:schemeClr val="accent5"/>
            </a:effectRef>
            <a:fontRef idx="minor">
              <a:schemeClr val="lt1"/>
            </a:fontRef>
          </xdr:style>
          <xdr:txBody>
            <a:bodyPr wrap="square" lIns="648000" r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spcBef>
                  <a:spcPts val="1800"/>
                </a:spcBef>
              </a:pPr>
              <a:r>
                <a:rPr lang="es-ES_tradnl" sz="2000">
                  <a:solidFill>
                    <a:schemeClr val="tx1">
                      <a:lumMod val="75000"/>
                      <a:lumOff val="25000"/>
                    </a:schemeClr>
                  </a:solidFill>
                  <a:latin typeface="Arial" panose="020B0604020202020204" pitchFamily="34" charset="0"/>
                  <a:cs typeface="Arial" panose="020B0604020202020204" pitchFamily="34" charset="0"/>
                </a:rPr>
                <a:t>Contributivo</a:t>
              </a:r>
            </a:p>
          </xdr:txBody>
        </xdr:sp>
        <xdr:sp macro="" textlink="">
          <xdr:nvSpPr>
            <xdr:cNvPr id="339" name="Redondear rectángulo de esquina del mismo lado 338">
              <a:extLst>
                <a:ext uri="{FF2B5EF4-FFF2-40B4-BE49-F238E27FC236}">
                  <a16:creationId xmlns:a16="http://schemas.microsoft.com/office/drawing/2014/main" id="{00000000-0008-0000-0100-000053010000}"/>
                </a:ext>
              </a:extLst>
            </xdr:cNvPr>
            <xdr:cNvSpPr/>
          </xdr:nvSpPr>
          <xdr:spPr>
            <a:xfrm rot="16200000">
              <a:off x="33162" y="4449339"/>
              <a:ext cx="694266" cy="612000"/>
            </a:xfrm>
            <a:prstGeom prst="round2SameRect">
              <a:avLst>
                <a:gd name="adj1" fmla="val 11721"/>
                <a:gd name="adj2" fmla="val 0"/>
              </a:avLst>
            </a:prstGeom>
            <a:solidFill>
              <a:srgbClr val="3266CA"/>
            </a:solidFill>
            <a:ln w="28575">
              <a:noFill/>
            </a:ln>
            <a:effectLst/>
          </xdr:spPr>
          <xdr:style>
            <a:lnRef idx="3">
              <a:schemeClr val="lt1"/>
            </a:lnRef>
            <a:fillRef idx="1">
              <a:schemeClr val="accent5"/>
            </a:fillRef>
            <a:effectRef idx="1">
              <a:schemeClr val="accent5"/>
            </a:effectRef>
            <a:fontRef idx="minor">
              <a:schemeClr val="lt1"/>
            </a:fontRef>
          </xdr:style>
          <xdr:txBody>
            <a:bodyPr vert="vert" wrap="square" lIns="0" tIns="0" rIns="0" b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es-ES_tradnl" sz="1400">
                  <a:solidFill>
                    <a:srgbClr val="FFFFFF"/>
                  </a:solidFill>
                </a:rPr>
                <a:t>NIVEL</a:t>
              </a:r>
            </a:p>
            <a:p>
              <a:pPr algn="ctr"/>
              <a:r>
                <a:rPr lang="es-ES_tradnl" sz="2000">
                  <a:solidFill>
                    <a:srgbClr val="FFFFFF"/>
                  </a:solidFill>
                  <a:latin typeface="+mj-lt"/>
                </a:rPr>
                <a:t>03</a:t>
              </a:r>
            </a:p>
          </xdr:txBody>
        </xdr:sp>
      </xdr:grpSp>
      <xdr:grpSp>
        <xdr:nvGrpSpPr>
          <xdr:cNvPr id="332" name="Grupo 331">
            <a:extLst>
              <a:ext uri="{FF2B5EF4-FFF2-40B4-BE49-F238E27FC236}">
                <a16:creationId xmlns:a16="http://schemas.microsoft.com/office/drawing/2014/main" id="{00000000-0008-0000-0100-00004C010000}"/>
              </a:ext>
            </a:extLst>
          </xdr:cNvPr>
          <xdr:cNvGrpSpPr/>
        </xdr:nvGrpSpPr>
        <xdr:grpSpPr>
          <a:xfrm>
            <a:off x="7068530" y="1899286"/>
            <a:ext cx="2269066" cy="694266"/>
            <a:chOff x="69540" y="4408206"/>
            <a:chExt cx="2269066" cy="694266"/>
          </a:xfrm>
        </xdr:grpSpPr>
        <xdr:sp macro="" textlink="">
          <xdr:nvSpPr>
            <xdr:cNvPr id="336" name="Rectángulo redondeado 335">
              <a:extLst>
                <a:ext uri="{FF2B5EF4-FFF2-40B4-BE49-F238E27FC236}">
                  <a16:creationId xmlns:a16="http://schemas.microsoft.com/office/drawing/2014/main" id="{00000000-0008-0000-0100-000050010000}"/>
                </a:ext>
              </a:extLst>
            </xdr:cNvPr>
            <xdr:cNvSpPr/>
          </xdr:nvSpPr>
          <xdr:spPr>
            <a:xfrm>
              <a:off x="69540" y="4412961"/>
              <a:ext cx="2269066" cy="677334"/>
            </a:xfrm>
            <a:prstGeom prst="roundRect">
              <a:avLst/>
            </a:prstGeom>
            <a:solidFill>
              <a:srgbClr val="FFFFFF"/>
            </a:solidFill>
            <a:ln w="28575">
              <a:solidFill>
                <a:srgbClr val="3266CA"/>
              </a:solidFill>
            </a:ln>
            <a:effectLst>
              <a:outerShdw dist="50800" dir="2700000" algn="tl" rotWithShape="0">
                <a:srgbClr val="3266CA"/>
              </a:outerShdw>
            </a:effectLst>
          </xdr:spPr>
          <xdr:style>
            <a:lnRef idx="3">
              <a:schemeClr val="lt1"/>
            </a:lnRef>
            <a:fillRef idx="1">
              <a:schemeClr val="accent5"/>
            </a:fillRef>
            <a:effectRef idx="1">
              <a:schemeClr val="accent5"/>
            </a:effectRef>
            <a:fontRef idx="minor">
              <a:schemeClr val="lt1"/>
            </a:fontRef>
          </xdr:style>
          <xdr:txBody>
            <a:bodyPr wrap="square" lIns="648000" r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spcBef>
                  <a:spcPts val="1800"/>
                </a:spcBef>
              </a:pPr>
              <a:r>
                <a:rPr lang="es-ES_tradnl" sz="2000">
                  <a:solidFill>
                    <a:schemeClr val="tx1">
                      <a:lumMod val="75000"/>
                      <a:lumOff val="25000"/>
                    </a:schemeClr>
                  </a:solidFill>
                  <a:latin typeface="Arial" panose="020B0604020202020204" pitchFamily="34" charset="0"/>
                  <a:cs typeface="Arial" panose="020B0604020202020204" pitchFamily="34" charset="0"/>
                </a:rPr>
                <a:t>Diferenciador</a:t>
              </a:r>
            </a:p>
          </xdr:txBody>
        </xdr:sp>
        <xdr:sp macro="" textlink="">
          <xdr:nvSpPr>
            <xdr:cNvPr id="337" name="Redondear rectángulo de esquina del mismo lado 336">
              <a:extLst>
                <a:ext uri="{FF2B5EF4-FFF2-40B4-BE49-F238E27FC236}">
                  <a16:creationId xmlns:a16="http://schemas.microsoft.com/office/drawing/2014/main" id="{00000000-0008-0000-0100-000051010000}"/>
                </a:ext>
              </a:extLst>
            </xdr:cNvPr>
            <xdr:cNvSpPr/>
          </xdr:nvSpPr>
          <xdr:spPr>
            <a:xfrm rot="16200000">
              <a:off x="33162" y="4449339"/>
              <a:ext cx="694266" cy="612000"/>
            </a:xfrm>
            <a:prstGeom prst="round2SameRect">
              <a:avLst>
                <a:gd name="adj1" fmla="val 11721"/>
                <a:gd name="adj2" fmla="val 0"/>
              </a:avLst>
            </a:prstGeom>
            <a:solidFill>
              <a:srgbClr val="3266CA"/>
            </a:solidFill>
            <a:ln w="28575">
              <a:noFill/>
            </a:ln>
            <a:effectLst/>
          </xdr:spPr>
          <xdr:style>
            <a:lnRef idx="3">
              <a:schemeClr val="lt1"/>
            </a:lnRef>
            <a:fillRef idx="1">
              <a:schemeClr val="accent5"/>
            </a:fillRef>
            <a:effectRef idx="1">
              <a:schemeClr val="accent5"/>
            </a:effectRef>
            <a:fontRef idx="minor">
              <a:schemeClr val="lt1"/>
            </a:fontRef>
          </xdr:style>
          <xdr:txBody>
            <a:bodyPr vert="vert" wrap="square" lIns="0" tIns="0" rIns="0" b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es-ES_tradnl" sz="1400">
                  <a:solidFill>
                    <a:srgbClr val="FFFFFF"/>
                  </a:solidFill>
                </a:rPr>
                <a:t>NIVEL</a:t>
              </a:r>
            </a:p>
            <a:p>
              <a:pPr algn="ctr"/>
              <a:r>
                <a:rPr lang="es-ES_tradnl" sz="2000">
                  <a:solidFill>
                    <a:srgbClr val="FFFFFF"/>
                  </a:solidFill>
                  <a:latin typeface="+mj-lt"/>
                </a:rPr>
                <a:t>04</a:t>
              </a:r>
            </a:p>
          </xdr:txBody>
        </xdr:sp>
      </xdr:grpSp>
      <xdr:grpSp>
        <xdr:nvGrpSpPr>
          <xdr:cNvPr id="333" name="Grupo 332">
            <a:extLst>
              <a:ext uri="{FF2B5EF4-FFF2-40B4-BE49-F238E27FC236}">
                <a16:creationId xmlns:a16="http://schemas.microsoft.com/office/drawing/2014/main" id="{00000000-0008-0000-0100-00004D010000}"/>
              </a:ext>
            </a:extLst>
          </xdr:cNvPr>
          <xdr:cNvGrpSpPr/>
        </xdr:nvGrpSpPr>
        <xdr:grpSpPr>
          <a:xfrm>
            <a:off x="9302111" y="1230544"/>
            <a:ext cx="2523096" cy="694266"/>
            <a:chOff x="69540" y="4408206"/>
            <a:chExt cx="2523096" cy="694266"/>
          </a:xfrm>
        </xdr:grpSpPr>
        <xdr:sp macro="" textlink="">
          <xdr:nvSpPr>
            <xdr:cNvPr id="334" name="Rectángulo redondeado 333">
              <a:extLst>
                <a:ext uri="{FF2B5EF4-FFF2-40B4-BE49-F238E27FC236}">
                  <a16:creationId xmlns:a16="http://schemas.microsoft.com/office/drawing/2014/main" id="{00000000-0008-0000-0100-00004E010000}"/>
                </a:ext>
              </a:extLst>
            </xdr:cNvPr>
            <xdr:cNvSpPr/>
          </xdr:nvSpPr>
          <xdr:spPr>
            <a:xfrm>
              <a:off x="69540" y="4412961"/>
              <a:ext cx="2523096" cy="677334"/>
            </a:xfrm>
            <a:prstGeom prst="roundRect">
              <a:avLst/>
            </a:prstGeom>
            <a:solidFill>
              <a:srgbClr val="FFFFFF"/>
            </a:solidFill>
            <a:ln w="28575">
              <a:solidFill>
                <a:srgbClr val="3266CA"/>
              </a:solidFill>
            </a:ln>
            <a:effectLst>
              <a:outerShdw dist="50800" dir="2700000" algn="tl" rotWithShape="0">
                <a:srgbClr val="3266CA"/>
              </a:outerShdw>
            </a:effectLst>
          </xdr:spPr>
          <xdr:style>
            <a:lnRef idx="3">
              <a:schemeClr val="lt1"/>
            </a:lnRef>
            <a:fillRef idx="1">
              <a:schemeClr val="accent5"/>
            </a:fillRef>
            <a:effectRef idx="1">
              <a:schemeClr val="accent5"/>
            </a:effectRef>
            <a:fontRef idx="minor">
              <a:schemeClr val="lt1"/>
            </a:fontRef>
          </xdr:style>
          <xdr:txBody>
            <a:bodyPr wrap="square" lIns="648000" r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spcBef>
                  <a:spcPts val="1800"/>
                </a:spcBef>
              </a:pPr>
              <a:r>
                <a:rPr lang="es-ES_tradnl" sz="2000">
                  <a:solidFill>
                    <a:schemeClr val="tx1">
                      <a:lumMod val="75000"/>
                      <a:lumOff val="25000"/>
                    </a:schemeClr>
                  </a:solidFill>
                  <a:latin typeface="Arial" panose="020B0604020202020204" pitchFamily="34" charset="0"/>
                  <a:cs typeface="Arial" panose="020B0604020202020204" pitchFamily="34" charset="0"/>
                </a:rPr>
                <a:t>Transformador</a:t>
              </a:r>
            </a:p>
          </xdr:txBody>
        </xdr:sp>
        <xdr:sp macro="" textlink="">
          <xdr:nvSpPr>
            <xdr:cNvPr id="335" name="Redondear rectángulo de esquina del mismo lado 334">
              <a:extLst>
                <a:ext uri="{FF2B5EF4-FFF2-40B4-BE49-F238E27FC236}">
                  <a16:creationId xmlns:a16="http://schemas.microsoft.com/office/drawing/2014/main" id="{00000000-0008-0000-0100-00004F010000}"/>
                </a:ext>
              </a:extLst>
            </xdr:cNvPr>
            <xdr:cNvSpPr/>
          </xdr:nvSpPr>
          <xdr:spPr>
            <a:xfrm rot="16200000">
              <a:off x="33162" y="4449339"/>
              <a:ext cx="694266" cy="612000"/>
            </a:xfrm>
            <a:prstGeom prst="round2SameRect">
              <a:avLst>
                <a:gd name="adj1" fmla="val 11721"/>
                <a:gd name="adj2" fmla="val 0"/>
              </a:avLst>
            </a:prstGeom>
            <a:solidFill>
              <a:srgbClr val="3266CA"/>
            </a:solidFill>
            <a:ln w="28575">
              <a:noFill/>
            </a:ln>
            <a:effectLst/>
          </xdr:spPr>
          <xdr:style>
            <a:lnRef idx="3">
              <a:schemeClr val="lt1"/>
            </a:lnRef>
            <a:fillRef idx="1">
              <a:schemeClr val="accent5"/>
            </a:fillRef>
            <a:effectRef idx="1">
              <a:schemeClr val="accent5"/>
            </a:effectRef>
            <a:fontRef idx="minor">
              <a:schemeClr val="lt1"/>
            </a:fontRef>
          </xdr:style>
          <xdr:txBody>
            <a:bodyPr vert="vert" wrap="square" lIns="0" tIns="0" rIns="0" b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es-ES_tradnl" sz="1400">
                  <a:solidFill>
                    <a:srgbClr val="FFFFFF"/>
                  </a:solidFill>
                </a:rPr>
                <a:t>NIVEL</a:t>
              </a:r>
            </a:p>
            <a:p>
              <a:pPr algn="ctr"/>
              <a:r>
                <a:rPr lang="es-ES_tradnl" sz="2000">
                  <a:solidFill>
                    <a:srgbClr val="FFFFFF"/>
                  </a:solidFill>
                  <a:latin typeface="+mj-lt"/>
                </a:rPr>
                <a:t>05</a:t>
              </a:r>
            </a:p>
          </xdr:txBody>
        </xdr:sp>
      </xdr:grpSp>
    </xdr:grpSp>
    <xdr:clientData/>
  </xdr:twoCellAnchor>
  <xdr:twoCellAnchor>
    <xdr:from>
      <xdr:col>1</xdr:col>
      <xdr:colOff>1413776</xdr:colOff>
      <xdr:row>98</xdr:row>
      <xdr:rowOff>103904</xdr:rowOff>
    </xdr:from>
    <xdr:to>
      <xdr:col>3</xdr:col>
      <xdr:colOff>1075556</xdr:colOff>
      <xdr:row>103</xdr:row>
      <xdr:rowOff>188333</xdr:rowOff>
    </xdr:to>
    <xdr:sp macro="" textlink="">
      <xdr:nvSpPr>
        <xdr:cNvPr id="313" name="CuadroTexto 43">
          <a:extLst>
            <a:ext uri="{FF2B5EF4-FFF2-40B4-BE49-F238E27FC236}">
              <a16:creationId xmlns:a16="http://schemas.microsoft.com/office/drawing/2014/main" id="{00000000-0008-0000-0100-000039010000}"/>
            </a:ext>
          </a:extLst>
        </xdr:cNvPr>
        <xdr:cNvSpPr txBox="1"/>
      </xdr:nvSpPr>
      <xdr:spPr>
        <a:xfrm>
          <a:off x="2238621" y="26210914"/>
          <a:ext cx="5134564" cy="1131852"/>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horz" wrap="square" lIns="45719" tIns="45719" rIns="45719" bIns="45719" numCol="1" spcCol="38100" rtlCol="0" anchor="t">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r>
            <a:rPr lang="es-ES" sz="1600"/>
            <a:t>Evalúa el </a:t>
          </a:r>
          <a:r>
            <a:rPr lang="es-ES" sz="1600" b="1"/>
            <a:t>rol de TI </a:t>
          </a:r>
          <a:r>
            <a:rPr lang="es-ES" sz="1600"/>
            <a:t>en la entidad  y qué tan bien se desempeña en ese rol esperado. Se evalúa la </a:t>
          </a:r>
          <a:r>
            <a:rPr lang="es-ES" sz="1600" b="1"/>
            <a:t>contribución de TI </a:t>
          </a:r>
          <a:r>
            <a:rPr lang="es-ES" sz="1600"/>
            <a:t>a la estrategia y la efectividad de modelo operativo institucional para lograr los objetivos estratégicos.</a:t>
          </a:r>
          <a:endParaRPr kumimoji="0" lang="es-CO" sz="1600" b="0" i="0" u="none" strike="noStrike" cap="none" spc="0" normalizeH="0" baseline="0">
            <a:ln>
              <a:noFill/>
            </a:ln>
            <a:solidFill>
              <a:srgbClr val="000000"/>
            </a:solidFill>
            <a:effectLst/>
            <a:uFillTx/>
            <a:latin typeface="+mn-lt"/>
            <a:ea typeface="+mn-ea"/>
            <a:cs typeface="+mn-cs"/>
            <a:sym typeface="Calibri"/>
          </a:endParaRPr>
        </a:p>
      </xdr:txBody>
    </xdr:sp>
    <xdr:clientData/>
  </xdr:twoCellAnchor>
  <xdr:twoCellAnchor>
    <xdr:from>
      <xdr:col>1</xdr:col>
      <xdr:colOff>2530886</xdr:colOff>
      <xdr:row>124</xdr:row>
      <xdr:rowOff>105044</xdr:rowOff>
    </xdr:from>
    <xdr:to>
      <xdr:col>2</xdr:col>
      <xdr:colOff>2506132</xdr:colOff>
      <xdr:row>134</xdr:row>
      <xdr:rowOff>135745</xdr:rowOff>
    </xdr:to>
    <xdr:sp macro="" textlink="">
      <xdr:nvSpPr>
        <xdr:cNvPr id="314" name="23 CuadroTexto">
          <a:extLst>
            <a:ext uri="{FF2B5EF4-FFF2-40B4-BE49-F238E27FC236}">
              <a16:creationId xmlns:a16="http://schemas.microsoft.com/office/drawing/2014/main" id="{00000000-0008-0000-0100-00003A010000}"/>
            </a:ext>
          </a:extLst>
        </xdr:cNvPr>
        <xdr:cNvSpPr txBox="1"/>
      </xdr:nvSpPr>
      <xdr:spPr>
        <a:xfrm>
          <a:off x="3360619" y="30839044"/>
          <a:ext cx="2701513" cy="843501"/>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r>
            <a:rPr lang="es-CO" sz="1600">
              <a:solidFill>
                <a:srgbClr val="16B0B5"/>
              </a:solidFill>
            </a:rPr>
            <a:t>*Fuente: Elaboración integrando Gartner ITScore Strategy and execution</a:t>
          </a:r>
        </a:p>
      </xdr:txBody>
    </xdr:sp>
    <xdr:clientData/>
  </xdr:twoCellAnchor>
  <xdr:twoCellAnchor>
    <xdr:from>
      <xdr:col>2</xdr:col>
      <xdr:colOff>752420</xdr:colOff>
      <xdr:row>158</xdr:row>
      <xdr:rowOff>118533</xdr:rowOff>
    </xdr:from>
    <xdr:to>
      <xdr:col>5</xdr:col>
      <xdr:colOff>1930400</xdr:colOff>
      <xdr:row>161</xdr:row>
      <xdr:rowOff>39158</xdr:rowOff>
    </xdr:to>
    <xdr:sp macro="" textlink="">
      <xdr:nvSpPr>
        <xdr:cNvPr id="344" name="Título 2">
          <a:extLst>
            <a:ext uri="{FF2B5EF4-FFF2-40B4-BE49-F238E27FC236}">
              <a16:creationId xmlns:a16="http://schemas.microsoft.com/office/drawing/2014/main" id="{00000000-0008-0000-0100-000058010000}"/>
            </a:ext>
          </a:extLst>
        </xdr:cNvPr>
        <xdr:cNvSpPr>
          <a:spLocks noGrp="1"/>
        </xdr:cNvSpPr>
      </xdr:nvSpPr>
      <xdr:spPr>
        <a:xfrm>
          <a:off x="4308420" y="45855466"/>
          <a:ext cx="9356780" cy="530225"/>
        </a:xfrm>
        <a:prstGeom prst="rect">
          <a:avLst/>
        </a:prstGeom>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45719" rIns="45719" anchor="ctr">
          <a:noAutofit/>
        </a:bodyPr>
        <a:lstStyle>
          <a:lvl1pPr marL="0" marR="0" indent="0" algn="r" defTabSz="914400" rtl="0" latinLnBrk="0">
            <a:lnSpc>
              <a:spcPct val="90000"/>
            </a:lnSpc>
            <a:spcBef>
              <a:spcPts val="0"/>
            </a:spcBef>
            <a:spcAft>
              <a:spcPts val="0"/>
            </a:spcAft>
            <a:buClrTx/>
            <a:buSzTx/>
            <a:buFontTx/>
            <a:buNone/>
            <a:tabLst/>
            <a:defRPr sz="2200" b="1" i="0" u="none" strike="noStrike" cap="none" spc="0" baseline="0">
              <a:solidFill>
                <a:srgbClr val="FFFFFF"/>
              </a:solidFill>
              <a:uFillTx/>
              <a:latin typeface="Work Sans Black"/>
              <a:ea typeface="Work Sans Black"/>
              <a:cs typeface="Work Sans Black"/>
              <a:sym typeface="Work Sans"/>
            </a:defRPr>
          </a:lvl1pPr>
          <a:lvl2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2pPr>
          <a:lvl3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3pPr>
          <a:lvl4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4pPr>
          <a:lvl5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5pPr>
          <a:lvl6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6pPr>
          <a:lvl7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7pPr>
          <a:lvl8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8pPr>
          <a:lvl9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9pPr>
        </a:lstStyle>
        <a:p>
          <a:pPr algn="ctr"/>
          <a:r>
            <a:rPr lang="es-CO" sz="4000">
              <a:solidFill>
                <a:srgbClr val="3166CA"/>
              </a:solidFill>
            </a:rPr>
            <a:t>Madurez Gestión de proyectos de</a:t>
          </a:r>
          <a:r>
            <a:rPr lang="es-CO" sz="4000" baseline="0">
              <a:solidFill>
                <a:srgbClr val="3166CA"/>
              </a:solidFill>
            </a:rPr>
            <a:t> TI</a:t>
          </a:r>
          <a:endParaRPr lang="es-CO" sz="4000">
            <a:solidFill>
              <a:srgbClr val="3166CA"/>
            </a:solidFill>
          </a:endParaRPr>
        </a:p>
      </xdr:txBody>
    </xdr:sp>
    <xdr:clientData/>
  </xdr:twoCellAnchor>
  <xdr:twoCellAnchor>
    <xdr:from>
      <xdr:col>1</xdr:col>
      <xdr:colOff>1823467</xdr:colOff>
      <xdr:row>165</xdr:row>
      <xdr:rowOff>79077</xdr:rowOff>
    </xdr:from>
    <xdr:to>
      <xdr:col>6</xdr:col>
      <xdr:colOff>35528</xdr:colOff>
      <xdr:row>189</xdr:row>
      <xdr:rowOff>48375</xdr:rowOff>
    </xdr:to>
    <xdr:grpSp>
      <xdr:nvGrpSpPr>
        <xdr:cNvPr id="345" name="Grupo 344">
          <a:extLst>
            <a:ext uri="{FF2B5EF4-FFF2-40B4-BE49-F238E27FC236}">
              <a16:creationId xmlns:a16="http://schemas.microsoft.com/office/drawing/2014/main" id="{00000000-0008-0000-0100-000059010000}"/>
            </a:ext>
          </a:extLst>
        </xdr:cNvPr>
        <xdr:cNvGrpSpPr/>
      </xdr:nvGrpSpPr>
      <xdr:grpSpPr>
        <a:xfrm>
          <a:off x="2655536" y="50671060"/>
          <a:ext cx="11897406" cy="4698953"/>
          <a:chOff x="200567" y="1230544"/>
          <a:chExt cx="11843395" cy="4846098"/>
        </a:xfrm>
      </xdr:grpSpPr>
      <xdr:sp macro="" textlink="">
        <xdr:nvSpPr>
          <xdr:cNvPr id="348" name="Forma libre 347">
            <a:extLst>
              <a:ext uri="{FF2B5EF4-FFF2-40B4-BE49-F238E27FC236}">
                <a16:creationId xmlns:a16="http://schemas.microsoft.com/office/drawing/2014/main" id="{00000000-0008-0000-0100-00005C010000}"/>
              </a:ext>
            </a:extLst>
          </xdr:cNvPr>
          <xdr:cNvSpPr/>
        </xdr:nvSpPr>
        <xdr:spPr>
          <a:xfrm>
            <a:off x="416674" y="4622028"/>
            <a:ext cx="1897980" cy="1454614"/>
          </a:xfrm>
          <a:custGeom>
            <a:avLst/>
            <a:gdLst>
              <a:gd name="connsiteX0" fmla="*/ 0 w 1540933"/>
              <a:gd name="connsiteY0" fmla="*/ 0 h 1202267"/>
              <a:gd name="connsiteX1" fmla="*/ 0 w 1540933"/>
              <a:gd name="connsiteY1" fmla="*/ 1202267 h 1202267"/>
              <a:gd name="connsiteX2" fmla="*/ 1540933 w 1540933"/>
              <a:gd name="connsiteY2" fmla="*/ 1202267 h 1202267"/>
            </a:gdLst>
            <a:ahLst/>
            <a:cxnLst>
              <a:cxn ang="0">
                <a:pos x="connsiteX0" y="connsiteY0"/>
              </a:cxn>
              <a:cxn ang="0">
                <a:pos x="connsiteX1" y="connsiteY1"/>
              </a:cxn>
              <a:cxn ang="0">
                <a:pos x="connsiteX2" y="connsiteY2"/>
              </a:cxn>
            </a:cxnLst>
            <a:rect l="l" t="t" r="r" b="b"/>
            <a:pathLst>
              <a:path w="1540933" h="1202267">
                <a:moveTo>
                  <a:pt x="0" y="0"/>
                </a:moveTo>
                <a:lnTo>
                  <a:pt x="0" y="1202267"/>
                </a:lnTo>
                <a:lnTo>
                  <a:pt x="1540933" y="1202267"/>
                </a:lnTo>
              </a:path>
            </a:pathLst>
          </a:custGeom>
          <a:noFill/>
          <a:ln>
            <a:solidFill>
              <a:srgbClr val="F654A1"/>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p>
        </xdr:txBody>
      </xdr:sp>
      <xdr:sp macro="" textlink="">
        <xdr:nvSpPr>
          <xdr:cNvPr id="349" name="Forma libre 348">
            <a:extLst>
              <a:ext uri="{FF2B5EF4-FFF2-40B4-BE49-F238E27FC236}">
                <a16:creationId xmlns:a16="http://schemas.microsoft.com/office/drawing/2014/main" id="{00000000-0008-0000-0100-00005D010000}"/>
              </a:ext>
            </a:extLst>
          </xdr:cNvPr>
          <xdr:cNvSpPr/>
        </xdr:nvSpPr>
        <xdr:spPr>
          <a:xfrm>
            <a:off x="2719606" y="3775883"/>
            <a:ext cx="1962885" cy="2300637"/>
          </a:xfrm>
          <a:custGeom>
            <a:avLst/>
            <a:gdLst>
              <a:gd name="connsiteX0" fmla="*/ 0 w 1540933"/>
              <a:gd name="connsiteY0" fmla="*/ 0 h 1202267"/>
              <a:gd name="connsiteX1" fmla="*/ 0 w 1540933"/>
              <a:gd name="connsiteY1" fmla="*/ 1202267 h 1202267"/>
              <a:gd name="connsiteX2" fmla="*/ 1540933 w 1540933"/>
              <a:gd name="connsiteY2" fmla="*/ 1202267 h 1202267"/>
            </a:gdLst>
            <a:ahLst/>
            <a:cxnLst>
              <a:cxn ang="0">
                <a:pos x="connsiteX0" y="connsiteY0"/>
              </a:cxn>
              <a:cxn ang="0">
                <a:pos x="connsiteX1" y="connsiteY1"/>
              </a:cxn>
              <a:cxn ang="0">
                <a:pos x="connsiteX2" y="connsiteY2"/>
              </a:cxn>
            </a:cxnLst>
            <a:rect l="l" t="t" r="r" b="b"/>
            <a:pathLst>
              <a:path w="1540933" h="1202267">
                <a:moveTo>
                  <a:pt x="0" y="0"/>
                </a:moveTo>
                <a:lnTo>
                  <a:pt x="0" y="1202267"/>
                </a:lnTo>
                <a:lnTo>
                  <a:pt x="1540933" y="1202267"/>
                </a:lnTo>
              </a:path>
            </a:pathLst>
          </a:custGeom>
          <a:noFill/>
          <a:ln>
            <a:solidFill>
              <a:srgbClr val="F654A1"/>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p>
        </xdr:txBody>
      </xdr:sp>
      <xdr:sp macro="" textlink="">
        <xdr:nvSpPr>
          <xdr:cNvPr id="350" name="Forma libre 349">
            <a:extLst>
              <a:ext uri="{FF2B5EF4-FFF2-40B4-BE49-F238E27FC236}">
                <a16:creationId xmlns:a16="http://schemas.microsoft.com/office/drawing/2014/main" id="{00000000-0008-0000-0100-00005E010000}"/>
              </a:ext>
            </a:extLst>
          </xdr:cNvPr>
          <xdr:cNvSpPr/>
        </xdr:nvSpPr>
        <xdr:spPr>
          <a:xfrm>
            <a:off x="5064873" y="2987439"/>
            <a:ext cx="1926167" cy="3089081"/>
          </a:xfrm>
          <a:custGeom>
            <a:avLst/>
            <a:gdLst>
              <a:gd name="connsiteX0" fmla="*/ 0 w 1540933"/>
              <a:gd name="connsiteY0" fmla="*/ 0 h 1202267"/>
              <a:gd name="connsiteX1" fmla="*/ 0 w 1540933"/>
              <a:gd name="connsiteY1" fmla="*/ 1202267 h 1202267"/>
              <a:gd name="connsiteX2" fmla="*/ 1540933 w 1540933"/>
              <a:gd name="connsiteY2" fmla="*/ 1202267 h 1202267"/>
            </a:gdLst>
            <a:ahLst/>
            <a:cxnLst>
              <a:cxn ang="0">
                <a:pos x="connsiteX0" y="connsiteY0"/>
              </a:cxn>
              <a:cxn ang="0">
                <a:pos x="connsiteX1" y="connsiteY1"/>
              </a:cxn>
              <a:cxn ang="0">
                <a:pos x="connsiteX2" y="connsiteY2"/>
              </a:cxn>
            </a:cxnLst>
            <a:rect l="l" t="t" r="r" b="b"/>
            <a:pathLst>
              <a:path w="1540933" h="1202267">
                <a:moveTo>
                  <a:pt x="0" y="0"/>
                </a:moveTo>
                <a:lnTo>
                  <a:pt x="0" y="1202267"/>
                </a:lnTo>
                <a:lnTo>
                  <a:pt x="1540933" y="1202267"/>
                </a:lnTo>
              </a:path>
            </a:pathLst>
          </a:custGeom>
          <a:noFill/>
          <a:ln>
            <a:solidFill>
              <a:srgbClr val="F654A1"/>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p>
        </xdr:txBody>
      </xdr:sp>
      <xdr:sp macro="" textlink="">
        <xdr:nvSpPr>
          <xdr:cNvPr id="351" name="Forma libre 350">
            <a:extLst>
              <a:ext uri="{FF2B5EF4-FFF2-40B4-BE49-F238E27FC236}">
                <a16:creationId xmlns:a16="http://schemas.microsoft.com/office/drawing/2014/main" id="{00000000-0008-0000-0100-00005F010000}"/>
              </a:ext>
            </a:extLst>
          </xdr:cNvPr>
          <xdr:cNvSpPr/>
        </xdr:nvSpPr>
        <xdr:spPr>
          <a:xfrm>
            <a:off x="7372039" y="2149239"/>
            <a:ext cx="2065703" cy="3927282"/>
          </a:xfrm>
          <a:custGeom>
            <a:avLst/>
            <a:gdLst>
              <a:gd name="connsiteX0" fmla="*/ 0 w 1540933"/>
              <a:gd name="connsiteY0" fmla="*/ 0 h 1202267"/>
              <a:gd name="connsiteX1" fmla="*/ 0 w 1540933"/>
              <a:gd name="connsiteY1" fmla="*/ 1202267 h 1202267"/>
              <a:gd name="connsiteX2" fmla="*/ 1540933 w 1540933"/>
              <a:gd name="connsiteY2" fmla="*/ 1202267 h 1202267"/>
            </a:gdLst>
            <a:ahLst/>
            <a:cxnLst>
              <a:cxn ang="0">
                <a:pos x="connsiteX0" y="connsiteY0"/>
              </a:cxn>
              <a:cxn ang="0">
                <a:pos x="connsiteX1" y="connsiteY1"/>
              </a:cxn>
              <a:cxn ang="0">
                <a:pos x="connsiteX2" y="connsiteY2"/>
              </a:cxn>
            </a:cxnLst>
            <a:rect l="l" t="t" r="r" b="b"/>
            <a:pathLst>
              <a:path w="1540933" h="1202267">
                <a:moveTo>
                  <a:pt x="0" y="0"/>
                </a:moveTo>
                <a:lnTo>
                  <a:pt x="0" y="1202267"/>
                </a:lnTo>
                <a:lnTo>
                  <a:pt x="1540933" y="1202267"/>
                </a:lnTo>
              </a:path>
            </a:pathLst>
          </a:custGeom>
          <a:noFill/>
          <a:ln>
            <a:solidFill>
              <a:srgbClr val="F654A1"/>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p>
        </xdr:txBody>
      </xdr:sp>
      <xdr:sp macro="" textlink="">
        <xdr:nvSpPr>
          <xdr:cNvPr id="352" name="Forma libre 351">
            <a:extLst>
              <a:ext uri="{FF2B5EF4-FFF2-40B4-BE49-F238E27FC236}">
                <a16:creationId xmlns:a16="http://schemas.microsoft.com/office/drawing/2014/main" id="{00000000-0008-0000-0100-000060010000}"/>
              </a:ext>
            </a:extLst>
          </xdr:cNvPr>
          <xdr:cNvSpPr/>
        </xdr:nvSpPr>
        <xdr:spPr>
          <a:xfrm>
            <a:off x="9667026" y="1311038"/>
            <a:ext cx="1926167" cy="4765481"/>
          </a:xfrm>
          <a:custGeom>
            <a:avLst/>
            <a:gdLst>
              <a:gd name="connsiteX0" fmla="*/ 0 w 1540933"/>
              <a:gd name="connsiteY0" fmla="*/ 0 h 1202267"/>
              <a:gd name="connsiteX1" fmla="*/ 0 w 1540933"/>
              <a:gd name="connsiteY1" fmla="*/ 1202267 h 1202267"/>
              <a:gd name="connsiteX2" fmla="*/ 1540933 w 1540933"/>
              <a:gd name="connsiteY2" fmla="*/ 1202267 h 1202267"/>
            </a:gdLst>
            <a:ahLst/>
            <a:cxnLst>
              <a:cxn ang="0">
                <a:pos x="connsiteX0" y="connsiteY0"/>
              </a:cxn>
              <a:cxn ang="0">
                <a:pos x="connsiteX1" y="connsiteY1"/>
              </a:cxn>
              <a:cxn ang="0">
                <a:pos x="connsiteX2" y="connsiteY2"/>
              </a:cxn>
            </a:cxnLst>
            <a:rect l="l" t="t" r="r" b="b"/>
            <a:pathLst>
              <a:path w="1540933" h="1202267">
                <a:moveTo>
                  <a:pt x="0" y="0"/>
                </a:moveTo>
                <a:lnTo>
                  <a:pt x="0" y="1202267"/>
                </a:lnTo>
                <a:lnTo>
                  <a:pt x="1540933" y="1202267"/>
                </a:lnTo>
              </a:path>
            </a:pathLst>
          </a:custGeom>
          <a:noFill/>
          <a:ln>
            <a:solidFill>
              <a:srgbClr val="F654A1"/>
            </a:solidFill>
            <a:tailEnd type="ova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p>
        </xdr:txBody>
      </xdr:sp>
      <xdr:sp macro="" textlink="">
        <xdr:nvSpPr>
          <xdr:cNvPr id="353" name="CuadroTexto 21">
            <a:extLst>
              <a:ext uri="{FF2B5EF4-FFF2-40B4-BE49-F238E27FC236}">
                <a16:creationId xmlns:a16="http://schemas.microsoft.com/office/drawing/2014/main" id="{00000000-0008-0000-0100-000061010000}"/>
              </a:ext>
            </a:extLst>
          </xdr:cNvPr>
          <xdr:cNvSpPr txBox="1"/>
        </xdr:nvSpPr>
        <xdr:spPr>
          <a:xfrm>
            <a:off x="2815126" y="4137527"/>
            <a:ext cx="2227525" cy="954107"/>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pPr lvl="0" fontAlgn="base"/>
            <a:r>
              <a:rPr lang="en-US" b="0"/>
              <a:t>A</a:t>
            </a:r>
            <a:r>
              <a:rPr lang="es-ES" b="0"/>
              <a:t>lgunos procesos de gestión de proyectos, el éxito de los proyecto es impredecible</a:t>
            </a:r>
            <a:endParaRPr lang="es-CO" b="0"/>
          </a:p>
        </xdr:txBody>
      </xdr:sp>
      <xdr:sp macro="" textlink="">
        <xdr:nvSpPr>
          <xdr:cNvPr id="354" name="CuadroTexto 22">
            <a:extLst>
              <a:ext uri="{FF2B5EF4-FFF2-40B4-BE49-F238E27FC236}">
                <a16:creationId xmlns:a16="http://schemas.microsoft.com/office/drawing/2014/main" id="{00000000-0008-0000-0100-000062010000}"/>
              </a:ext>
            </a:extLst>
          </xdr:cNvPr>
          <xdr:cNvSpPr txBox="1"/>
        </xdr:nvSpPr>
        <xdr:spPr>
          <a:xfrm>
            <a:off x="5224091" y="3390303"/>
            <a:ext cx="2065703" cy="954107"/>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pPr lvl="0" fontAlgn="base"/>
            <a:r>
              <a:rPr lang="en-US" b="0"/>
              <a:t>Procesos de gestion de proyectos estandarizados con resultados predecibles</a:t>
            </a:r>
            <a:endParaRPr lang="es-CO" sz="1200" b="0"/>
          </a:p>
        </xdr:txBody>
      </xdr:sp>
      <xdr:sp macro="" textlink="">
        <xdr:nvSpPr>
          <xdr:cNvPr id="355" name="CuadroTexto 23">
            <a:extLst>
              <a:ext uri="{FF2B5EF4-FFF2-40B4-BE49-F238E27FC236}">
                <a16:creationId xmlns:a16="http://schemas.microsoft.com/office/drawing/2014/main" id="{00000000-0008-0000-0100-000063010000}"/>
              </a:ext>
            </a:extLst>
          </xdr:cNvPr>
          <xdr:cNvSpPr txBox="1"/>
        </xdr:nvSpPr>
        <xdr:spPr>
          <a:xfrm>
            <a:off x="7384506" y="2717921"/>
            <a:ext cx="1951884" cy="1569660"/>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pPr lvl="0" fontAlgn="base"/>
            <a:endParaRPr lang="en-US" b="0"/>
          </a:p>
          <a:p>
            <a:pPr lvl="0" fontAlgn="base"/>
            <a:r>
              <a:rPr lang="en-US" b="0"/>
              <a:t>Procesos maduros y métricas de proyectos aprovechadas gerencialmente y para la toma de decisiones</a:t>
            </a:r>
            <a:endParaRPr lang="es-CO" b="0"/>
          </a:p>
          <a:p>
            <a:endParaRPr lang="es-CO" sz="1200" b="0"/>
          </a:p>
        </xdr:txBody>
      </xdr:sp>
      <xdr:sp macro="" textlink="">
        <xdr:nvSpPr>
          <xdr:cNvPr id="356" name="CuadroTexto 24">
            <a:extLst>
              <a:ext uri="{FF2B5EF4-FFF2-40B4-BE49-F238E27FC236}">
                <a16:creationId xmlns:a16="http://schemas.microsoft.com/office/drawing/2014/main" id="{00000000-0008-0000-0100-000064010000}"/>
              </a:ext>
            </a:extLst>
          </xdr:cNvPr>
          <xdr:cNvSpPr txBox="1"/>
        </xdr:nvSpPr>
        <xdr:spPr>
          <a:xfrm>
            <a:off x="9718595" y="2048704"/>
            <a:ext cx="2325367" cy="523220"/>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pPr lvl="0" fontAlgn="base"/>
            <a:r>
              <a:rPr lang="en-US" b="0"/>
              <a:t>Mejoramiento continúo e innovación</a:t>
            </a:r>
            <a:endParaRPr lang="es-CO" b="0"/>
          </a:p>
        </xdr:txBody>
      </xdr:sp>
      <xdr:sp macro="" textlink="">
        <xdr:nvSpPr>
          <xdr:cNvPr id="357" name="Flecha curva 356">
            <a:extLst>
              <a:ext uri="{FF2B5EF4-FFF2-40B4-BE49-F238E27FC236}">
                <a16:creationId xmlns:a16="http://schemas.microsoft.com/office/drawing/2014/main" id="{00000000-0008-0000-0100-000065010000}"/>
              </a:ext>
            </a:extLst>
          </xdr:cNvPr>
          <xdr:cNvSpPr/>
        </xdr:nvSpPr>
        <xdr:spPr>
          <a:xfrm>
            <a:off x="1275872" y="3414371"/>
            <a:ext cx="1209259" cy="636040"/>
          </a:xfrm>
          <a:prstGeom prst="bentArrow">
            <a:avLst>
              <a:gd name="adj1" fmla="val 13650"/>
              <a:gd name="adj2" fmla="val 25000"/>
              <a:gd name="adj3" fmla="val 32567"/>
              <a:gd name="adj4" fmla="val 43750"/>
            </a:avLst>
          </a:prstGeom>
          <a:solidFill>
            <a:srgbClr val="F654A1"/>
          </a:solidFill>
          <a:ln>
            <a:solidFill>
              <a:srgbClr val="F654A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solidFill>
                <a:schemeClr val="tx1"/>
              </a:solidFill>
            </a:endParaRPr>
          </a:p>
        </xdr:txBody>
      </xdr:sp>
      <xdr:sp macro="" textlink="">
        <xdr:nvSpPr>
          <xdr:cNvPr id="358" name="CuadroTexto 25">
            <a:extLst>
              <a:ext uri="{FF2B5EF4-FFF2-40B4-BE49-F238E27FC236}">
                <a16:creationId xmlns:a16="http://schemas.microsoft.com/office/drawing/2014/main" id="{00000000-0008-0000-0100-000066010000}"/>
              </a:ext>
            </a:extLst>
          </xdr:cNvPr>
          <xdr:cNvSpPr txBox="1"/>
        </xdr:nvSpPr>
        <xdr:spPr>
          <a:xfrm>
            <a:off x="438764" y="4885563"/>
            <a:ext cx="2222375" cy="646331"/>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pPr fontAlgn="t">
              <a:buClr>
                <a:srgbClr val="F654A1"/>
              </a:buClr>
            </a:pPr>
            <a:r>
              <a:rPr lang="es-CO" sz="1200">
                <a:solidFill>
                  <a:schemeClr val="tx1">
                    <a:lumMod val="85000"/>
                    <a:lumOff val="15000"/>
                  </a:schemeClr>
                </a:solidFill>
                <a:latin typeface="Arial" panose="020B0604020202020204" pitchFamily="34" charset="0"/>
                <a:cs typeface="Arial" panose="020B0604020202020204" pitchFamily="34" charset="0"/>
              </a:rPr>
              <a:t>Sin procesos de gestión de proyectos, esfuerzos por particulares por proyecto.</a:t>
            </a:r>
            <a:endParaRPr lang="es-CO" sz="1200">
              <a:solidFill>
                <a:schemeClr val="tx1">
                  <a:lumMod val="85000"/>
                  <a:lumOff val="15000"/>
                </a:schemeClr>
              </a:solidFill>
              <a:latin typeface="Arial" panose="020B0604020202020204" pitchFamily="34" charset="0"/>
              <a:ea typeface="Helvetica Neue" charset="0"/>
              <a:cs typeface="Arial" panose="020B0604020202020204" pitchFamily="34" charset="0"/>
            </a:endParaRPr>
          </a:p>
        </xdr:txBody>
      </xdr:sp>
      <xdr:sp macro="" textlink="">
        <xdr:nvSpPr>
          <xdr:cNvPr id="359" name="Flecha curva 358">
            <a:extLst>
              <a:ext uri="{FF2B5EF4-FFF2-40B4-BE49-F238E27FC236}">
                <a16:creationId xmlns:a16="http://schemas.microsoft.com/office/drawing/2014/main" id="{00000000-0008-0000-0100-000067010000}"/>
              </a:ext>
            </a:extLst>
          </xdr:cNvPr>
          <xdr:cNvSpPr/>
        </xdr:nvSpPr>
        <xdr:spPr>
          <a:xfrm>
            <a:off x="3549326" y="2690232"/>
            <a:ext cx="1209259" cy="636040"/>
          </a:xfrm>
          <a:prstGeom prst="bentArrow">
            <a:avLst>
              <a:gd name="adj1" fmla="val 13650"/>
              <a:gd name="adj2" fmla="val 25000"/>
              <a:gd name="adj3" fmla="val 32567"/>
              <a:gd name="adj4" fmla="val 43750"/>
            </a:avLst>
          </a:prstGeom>
          <a:solidFill>
            <a:srgbClr val="F654A1"/>
          </a:solidFill>
          <a:ln>
            <a:solidFill>
              <a:srgbClr val="F654A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solidFill>
                <a:schemeClr val="tx1"/>
              </a:solidFill>
            </a:endParaRPr>
          </a:p>
        </xdr:txBody>
      </xdr:sp>
      <xdr:sp macro="" textlink="">
        <xdr:nvSpPr>
          <xdr:cNvPr id="360" name="Flecha curva 359">
            <a:extLst>
              <a:ext uri="{FF2B5EF4-FFF2-40B4-BE49-F238E27FC236}">
                <a16:creationId xmlns:a16="http://schemas.microsoft.com/office/drawing/2014/main" id="{00000000-0008-0000-0100-000068010000}"/>
              </a:ext>
            </a:extLst>
          </xdr:cNvPr>
          <xdr:cNvSpPr/>
        </xdr:nvSpPr>
        <xdr:spPr>
          <a:xfrm>
            <a:off x="5828214" y="1976783"/>
            <a:ext cx="1209259" cy="636040"/>
          </a:xfrm>
          <a:prstGeom prst="bentArrow">
            <a:avLst>
              <a:gd name="adj1" fmla="val 13650"/>
              <a:gd name="adj2" fmla="val 25000"/>
              <a:gd name="adj3" fmla="val 32567"/>
              <a:gd name="adj4" fmla="val 43750"/>
            </a:avLst>
          </a:prstGeom>
          <a:solidFill>
            <a:srgbClr val="F654A1"/>
          </a:solidFill>
          <a:ln>
            <a:solidFill>
              <a:srgbClr val="F654A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solidFill>
                <a:schemeClr val="tx1"/>
              </a:solidFill>
            </a:endParaRPr>
          </a:p>
        </xdr:txBody>
      </xdr:sp>
      <xdr:sp macro="" textlink="">
        <xdr:nvSpPr>
          <xdr:cNvPr id="361" name="Flecha curva 360">
            <a:extLst>
              <a:ext uri="{FF2B5EF4-FFF2-40B4-BE49-F238E27FC236}">
                <a16:creationId xmlns:a16="http://schemas.microsoft.com/office/drawing/2014/main" id="{00000000-0008-0000-0100-000069010000}"/>
              </a:ext>
            </a:extLst>
          </xdr:cNvPr>
          <xdr:cNvSpPr/>
        </xdr:nvSpPr>
        <xdr:spPr>
          <a:xfrm>
            <a:off x="8050272" y="1256071"/>
            <a:ext cx="1209259" cy="636040"/>
          </a:xfrm>
          <a:prstGeom prst="bentArrow">
            <a:avLst>
              <a:gd name="adj1" fmla="val 13650"/>
              <a:gd name="adj2" fmla="val 25000"/>
              <a:gd name="adj3" fmla="val 32567"/>
              <a:gd name="adj4" fmla="val 43750"/>
            </a:avLst>
          </a:prstGeom>
          <a:solidFill>
            <a:srgbClr val="F654A1"/>
          </a:solidFill>
          <a:ln>
            <a:solidFill>
              <a:srgbClr val="F654A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endParaRPr lang="es-ES_tradnl">
              <a:solidFill>
                <a:schemeClr val="tx1"/>
              </a:solidFill>
            </a:endParaRPr>
          </a:p>
        </xdr:txBody>
      </xdr:sp>
      <xdr:grpSp>
        <xdr:nvGrpSpPr>
          <xdr:cNvPr id="362" name="Grupo 361">
            <a:extLst>
              <a:ext uri="{FF2B5EF4-FFF2-40B4-BE49-F238E27FC236}">
                <a16:creationId xmlns:a16="http://schemas.microsoft.com/office/drawing/2014/main" id="{00000000-0008-0000-0100-00006A010000}"/>
              </a:ext>
            </a:extLst>
          </xdr:cNvPr>
          <xdr:cNvGrpSpPr/>
        </xdr:nvGrpSpPr>
        <xdr:grpSpPr>
          <a:xfrm>
            <a:off x="200567" y="3913523"/>
            <a:ext cx="2269066" cy="694266"/>
            <a:chOff x="69540" y="4408206"/>
            <a:chExt cx="2269066" cy="694266"/>
          </a:xfrm>
        </xdr:grpSpPr>
        <xdr:sp macro="" textlink="">
          <xdr:nvSpPr>
            <xdr:cNvPr id="375" name="Rectángulo redondeado 374">
              <a:extLst>
                <a:ext uri="{FF2B5EF4-FFF2-40B4-BE49-F238E27FC236}">
                  <a16:creationId xmlns:a16="http://schemas.microsoft.com/office/drawing/2014/main" id="{00000000-0008-0000-0100-000077010000}"/>
                </a:ext>
              </a:extLst>
            </xdr:cNvPr>
            <xdr:cNvSpPr/>
          </xdr:nvSpPr>
          <xdr:spPr>
            <a:xfrm>
              <a:off x="69540" y="4412961"/>
              <a:ext cx="2269066" cy="677334"/>
            </a:xfrm>
            <a:prstGeom prst="roundRect">
              <a:avLst/>
            </a:prstGeom>
            <a:solidFill>
              <a:srgbClr val="FFFFFF"/>
            </a:solidFill>
            <a:ln w="28575">
              <a:solidFill>
                <a:srgbClr val="3266CA"/>
              </a:solidFill>
            </a:ln>
            <a:effectLst>
              <a:outerShdw dist="50800" dir="2700000" algn="tl" rotWithShape="0">
                <a:srgbClr val="3266CA"/>
              </a:outerShdw>
            </a:effectLst>
          </xdr:spPr>
          <xdr:style>
            <a:lnRef idx="3">
              <a:schemeClr val="lt1"/>
            </a:lnRef>
            <a:fillRef idx="1">
              <a:schemeClr val="accent5"/>
            </a:fillRef>
            <a:effectRef idx="1">
              <a:schemeClr val="accent5"/>
            </a:effectRef>
            <a:fontRef idx="minor">
              <a:schemeClr val="lt1"/>
            </a:fontRef>
          </xdr:style>
          <xdr:txBody>
            <a:bodyPr wrap="square" lIns="648000" r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spcBef>
                  <a:spcPts val="1800"/>
                </a:spcBef>
              </a:pPr>
              <a:r>
                <a:rPr lang="es-ES_tradnl" sz="2000">
                  <a:solidFill>
                    <a:schemeClr val="tx1">
                      <a:lumMod val="75000"/>
                      <a:lumOff val="25000"/>
                    </a:schemeClr>
                  </a:solidFill>
                  <a:latin typeface="Arial" panose="020B0604020202020204" pitchFamily="34" charset="0"/>
                  <a:cs typeface="Arial" panose="020B0604020202020204" pitchFamily="34" charset="0"/>
                </a:rPr>
                <a:t>Ahdoc</a:t>
              </a:r>
            </a:p>
          </xdr:txBody>
        </xdr:sp>
        <xdr:sp macro="" textlink="">
          <xdr:nvSpPr>
            <xdr:cNvPr id="376" name="Redondear rectángulo de esquina del mismo lado 375">
              <a:extLst>
                <a:ext uri="{FF2B5EF4-FFF2-40B4-BE49-F238E27FC236}">
                  <a16:creationId xmlns:a16="http://schemas.microsoft.com/office/drawing/2014/main" id="{00000000-0008-0000-0100-000078010000}"/>
                </a:ext>
              </a:extLst>
            </xdr:cNvPr>
            <xdr:cNvSpPr/>
          </xdr:nvSpPr>
          <xdr:spPr>
            <a:xfrm rot="16200000">
              <a:off x="33162" y="4449339"/>
              <a:ext cx="694266" cy="612000"/>
            </a:xfrm>
            <a:prstGeom prst="round2SameRect">
              <a:avLst>
                <a:gd name="adj1" fmla="val 11721"/>
                <a:gd name="adj2" fmla="val 0"/>
              </a:avLst>
            </a:prstGeom>
            <a:solidFill>
              <a:srgbClr val="3266CA"/>
            </a:solidFill>
            <a:ln w="28575">
              <a:noFill/>
            </a:ln>
            <a:effectLst/>
          </xdr:spPr>
          <xdr:style>
            <a:lnRef idx="3">
              <a:schemeClr val="lt1"/>
            </a:lnRef>
            <a:fillRef idx="1">
              <a:schemeClr val="accent5"/>
            </a:fillRef>
            <a:effectRef idx="1">
              <a:schemeClr val="accent5"/>
            </a:effectRef>
            <a:fontRef idx="minor">
              <a:schemeClr val="lt1"/>
            </a:fontRef>
          </xdr:style>
          <xdr:txBody>
            <a:bodyPr vert="vert" wrap="square" lIns="0" tIns="0" rIns="0" b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es-ES_tradnl" sz="1400">
                  <a:solidFill>
                    <a:srgbClr val="FFFFFF"/>
                  </a:solidFill>
                </a:rPr>
                <a:t>NIVEL</a:t>
              </a:r>
            </a:p>
            <a:p>
              <a:pPr algn="ctr"/>
              <a:r>
                <a:rPr lang="es-ES_tradnl" sz="2000">
                  <a:solidFill>
                    <a:srgbClr val="FFFFFF"/>
                  </a:solidFill>
                  <a:latin typeface="+mj-lt"/>
                </a:rPr>
                <a:t>01</a:t>
              </a:r>
            </a:p>
          </xdr:txBody>
        </xdr:sp>
      </xdr:grpSp>
      <xdr:grpSp>
        <xdr:nvGrpSpPr>
          <xdr:cNvPr id="363" name="Grupo 362">
            <a:extLst>
              <a:ext uri="{FF2B5EF4-FFF2-40B4-BE49-F238E27FC236}">
                <a16:creationId xmlns:a16="http://schemas.microsoft.com/office/drawing/2014/main" id="{00000000-0008-0000-0100-00006B010000}"/>
              </a:ext>
            </a:extLst>
          </xdr:cNvPr>
          <xdr:cNvGrpSpPr/>
        </xdr:nvGrpSpPr>
        <xdr:grpSpPr>
          <a:xfrm>
            <a:off x="2506413" y="3270921"/>
            <a:ext cx="2269066" cy="694266"/>
            <a:chOff x="69540" y="4408206"/>
            <a:chExt cx="2269066" cy="694266"/>
          </a:xfrm>
        </xdr:grpSpPr>
        <xdr:sp macro="" textlink="">
          <xdr:nvSpPr>
            <xdr:cNvPr id="373" name="Rectángulo redondeado 372">
              <a:extLst>
                <a:ext uri="{FF2B5EF4-FFF2-40B4-BE49-F238E27FC236}">
                  <a16:creationId xmlns:a16="http://schemas.microsoft.com/office/drawing/2014/main" id="{00000000-0008-0000-0100-000075010000}"/>
                </a:ext>
              </a:extLst>
            </xdr:cNvPr>
            <xdr:cNvSpPr/>
          </xdr:nvSpPr>
          <xdr:spPr>
            <a:xfrm>
              <a:off x="69540" y="4412961"/>
              <a:ext cx="2269066" cy="677334"/>
            </a:xfrm>
            <a:prstGeom prst="roundRect">
              <a:avLst/>
            </a:prstGeom>
            <a:solidFill>
              <a:srgbClr val="FFFFFF"/>
            </a:solidFill>
            <a:ln w="28575">
              <a:solidFill>
                <a:srgbClr val="3266CA"/>
              </a:solidFill>
            </a:ln>
            <a:effectLst>
              <a:outerShdw dist="50800" dir="2700000" algn="tl" rotWithShape="0">
                <a:srgbClr val="3266CA"/>
              </a:outerShdw>
            </a:effectLst>
          </xdr:spPr>
          <xdr:style>
            <a:lnRef idx="3">
              <a:schemeClr val="lt1"/>
            </a:lnRef>
            <a:fillRef idx="1">
              <a:schemeClr val="accent5"/>
            </a:fillRef>
            <a:effectRef idx="1">
              <a:schemeClr val="accent5"/>
            </a:effectRef>
            <a:fontRef idx="minor">
              <a:schemeClr val="lt1"/>
            </a:fontRef>
          </xdr:style>
          <xdr:txBody>
            <a:bodyPr wrap="square" lIns="648000" r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spcBef>
                  <a:spcPts val="1800"/>
                </a:spcBef>
              </a:pPr>
              <a:r>
                <a:rPr lang="es-ES_tradnl" sz="2000">
                  <a:solidFill>
                    <a:schemeClr val="tx1">
                      <a:lumMod val="75000"/>
                      <a:lumOff val="25000"/>
                    </a:schemeClr>
                  </a:solidFill>
                  <a:latin typeface="Arial" panose="020B0604020202020204" pitchFamily="34" charset="0"/>
                  <a:cs typeface="Arial" panose="020B0604020202020204" pitchFamily="34" charset="0"/>
                </a:rPr>
                <a:t>Abreviado</a:t>
              </a:r>
            </a:p>
          </xdr:txBody>
        </xdr:sp>
        <xdr:sp macro="" textlink="">
          <xdr:nvSpPr>
            <xdr:cNvPr id="374" name="Redondear rectángulo de esquina del mismo lado 373">
              <a:extLst>
                <a:ext uri="{FF2B5EF4-FFF2-40B4-BE49-F238E27FC236}">
                  <a16:creationId xmlns:a16="http://schemas.microsoft.com/office/drawing/2014/main" id="{00000000-0008-0000-0100-000076010000}"/>
                </a:ext>
              </a:extLst>
            </xdr:cNvPr>
            <xdr:cNvSpPr/>
          </xdr:nvSpPr>
          <xdr:spPr>
            <a:xfrm rot="16200000">
              <a:off x="33162" y="4449339"/>
              <a:ext cx="694266" cy="612000"/>
            </a:xfrm>
            <a:prstGeom prst="round2SameRect">
              <a:avLst>
                <a:gd name="adj1" fmla="val 11721"/>
                <a:gd name="adj2" fmla="val 0"/>
              </a:avLst>
            </a:prstGeom>
            <a:solidFill>
              <a:srgbClr val="3266CA"/>
            </a:solidFill>
            <a:ln w="28575">
              <a:noFill/>
            </a:ln>
            <a:effectLst/>
          </xdr:spPr>
          <xdr:style>
            <a:lnRef idx="3">
              <a:schemeClr val="lt1"/>
            </a:lnRef>
            <a:fillRef idx="1">
              <a:schemeClr val="accent5"/>
            </a:fillRef>
            <a:effectRef idx="1">
              <a:schemeClr val="accent5"/>
            </a:effectRef>
            <a:fontRef idx="minor">
              <a:schemeClr val="lt1"/>
            </a:fontRef>
          </xdr:style>
          <xdr:txBody>
            <a:bodyPr vert="vert" wrap="square" lIns="0" tIns="0" rIns="0" b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es-ES_tradnl" sz="1400">
                  <a:solidFill>
                    <a:srgbClr val="FFFFFF"/>
                  </a:solidFill>
                </a:rPr>
                <a:t>NIVEL</a:t>
              </a:r>
            </a:p>
            <a:p>
              <a:pPr algn="ctr"/>
              <a:r>
                <a:rPr lang="es-ES_tradnl" sz="2000">
                  <a:solidFill>
                    <a:srgbClr val="FFFFFF"/>
                  </a:solidFill>
                  <a:latin typeface="+mj-lt"/>
                </a:rPr>
                <a:t>02</a:t>
              </a:r>
            </a:p>
          </xdr:txBody>
        </xdr:sp>
      </xdr:grpSp>
      <xdr:grpSp>
        <xdr:nvGrpSpPr>
          <xdr:cNvPr id="364" name="Grupo 363">
            <a:extLst>
              <a:ext uri="{FF2B5EF4-FFF2-40B4-BE49-F238E27FC236}">
                <a16:creationId xmlns:a16="http://schemas.microsoft.com/office/drawing/2014/main" id="{00000000-0008-0000-0100-00006C010000}"/>
              </a:ext>
            </a:extLst>
          </xdr:cNvPr>
          <xdr:cNvGrpSpPr/>
        </xdr:nvGrpSpPr>
        <xdr:grpSpPr>
          <a:xfrm>
            <a:off x="4790977" y="2577056"/>
            <a:ext cx="2269066" cy="694266"/>
            <a:chOff x="69540" y="4408206"/>
            <a:chExt cx="2269066" cy="694266"/>
          </a:xfrm>
        </xdr:grpSpPr>
        <xdr:sp macro="" textlink="">
          <xdr:nvSpPr>
            <xdr:cNvPr id="371" name="Rectángulo redondeado 370">
              <a:extLst>
                <a:ext uri="{FF2B5EF4-FFF2-40B4-BE49-F238E27FC236}">
                  <a16:creationId xmlns:a16="http://schemas.microsoft.com/office/drawing/2014/main" id="{00000000-0008-0000-0100-000073010000}"/>
                </a:ext>
              </a:extLst>
            </xdr:cNvPr>
            <xdr:cNvSpPr/>
          </xdr:nvSpPr>
          <xdr:spPr>
            <a:xfrm>
              <a:off x="69540" y="4412961"/>
              <a:ext cx="2269066" cy="677334"/>
            </a:xfrm>
            <a:prstGeom prst="roundRect">
              <a:avLst/>
            </a:prstGeom>
            <a:solidFill>
              <a:srgbClr val="FFFFFF"/>
            </a:solidFill>
            <a:ln w="28575">
              <a:solidFill>
                <a:srgbClr val="3266CA"/>
              </a:solidFill>
            </a:ln>
            <a:effectLst>
              <a:outerShdw dist="50800" dir="2700000" algn="tl" rotWithShape="0">
                <a:srgbClr val="3266CA"/>
              </a:outerShdw>
            </a:effectLst>
          </xdr:spPr>
          <xdr:style>
            <a:lnRef idx="3">
              <a:schemeClr val="lt1"/>
            </a:lnRef>
            <a:fillRef idx="1">
              <a:schemeClr val="accent5"/>
            </a:fillRef>
            <a:effectRef idx="1">
              <a:schemeClr val="accent5"/>
            </a:effectRef>
            <a:fontRef idx="minor">
              <a:schemeClr val="lt1"/>
            </a:fontRef>
          </xdr:style>
          <xdr:txBody>
            <a:bodyPr wrap="square" lIns="648000" r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spcBef>
                  <a:spcPts val="1800"/>
                </a:spcBef>
              </a:pPr>
              <a:r>
                <a:rPr lang="es-ES_tradnl" sz="2000">
                  <a:solidFill>
                    <a:schemeClr val="tx1">
                      <a:lumMod val="75000"/>
                      <a:lumOff val="25000"/>
                    </a:schemeClr>
                  </a:solidFill>
                  <a:latin typeface="Arial" panose="020B0604020202020204" pitchFamily="34" charset="0"/>
                  <a:cs typeface="Arial" panose="020B0604020202020204" pitchFamily="34" charset="0"/>
                </a:rPr>
                <a:t>Organizado</a:t>
              </a:r>
            </a:p>
          </xdr:txBody>
        </xdr:sp>
        <xdr:sp macro="" textlink="">
          <xdr:nvSpPr>
            <xdr:cNvPr id="372" name="Redondear rectángulo de esquina del mismo lado 371">
              <a:extLst>
                <a:ext uri="{FF2B5EF4-FFF2-40B4-BE49-F238E27FC236}">
                  <a16:creationId xmlns:a16="http://schemas.microsoft.com/office/drawing/2014/main" id="{00000000-0008-0000-0100-000074010000}"/>
                </a:ext>
              </a:extLst>
            </xdr:cNvPr>
            <xdr:cNvSpPr/>
          </xdr:nvSpPr>
          <xdr:spPr>
            <a:xfrm rot="16200000">
              <a:off x="33162" y="4449339"/>
              <a:ext cx="694266" cy="612000"/>
            </a:xfrm>
            <a:prstGeom prst="round2SameRect">
              <a:avLst>
                <a:gd name="adj1" fmla="val 11721"/>
                <a:gd name="adj2" fmla="val 0"/>
              </a:avLst>
            </a:prstGeom>
            <a:solidFill>
              <a:srgbClr val="3266CA"/>
            </a:solidFill>
            <a:ln w="28575">
              <a:noFill/>
            </a:ln>
            <a:effectLst/>
          </xdr:spPr>
          <xdr:style>
            <a:lnRef idx="3">
              <a:schemeClr val="lt1"/>
            </a:lnRef>
            <a:fillRef idx="1">
              <a:schemeClr val="accent5"/>
            </a:fillRef>
            <a:effectRef idx="1">
              <a:schemeClr val="accent5"/>
            </a:effectRef>
            <a:fontRef idx="minor">
              <a:schemeClr val="lt1"/>
            </a:fontRef>
          </xdr:style>
          <xdr:txBody>
            <a:bodyPr vert="vert" wrap="square" lIns="0" tIns="0" rIns="0" b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es-ES_tradnl" sz="1400">
                  <a:solidFill>
                    <a:srgbClr val="FFFFFF"/>
                  </a:solidFill>
                </a:rPr>
                <a:t>NIVEL</a:t>
              </a:r>
            </a:p>
            <a:p>
              <a:pPr algn="ctr"/>
              <a:r>
                <a:rPr lang="es-ES_tradnl" sz="2000">
                  <a:solidFill>
                    <a:srgbClr val="FFFFFF"/>
                  </a:solidFill>
                  <a:latin typeface="+mj-lt"/>
                </a:rPr>
                <a:t>03</a:t>
              </a:r>
            </a:p>
          </xdr:txBody>
        </xdr:sp>
      </xdr:grpSp>
      <xdr:grpSp>
        <xdr:nvGrpSpPr>
          <xdr:cNvPr id="365" name="Grupo 364">
            <a:extLst>
              <a:ext uri="{FF2B5EF4-FFF2-40B4-BE49-F238E27FC236}">
                <a16:creationId xmlns:a16="http://schemas.microsoft.com/office/drawing/2014/main" id="{00000000-0008-0000-0100-00006D010000}"/>
              </a:ext>
            </a:extLst>
          </xdr:cNvPr>
          <xdr:cNvGrpSpPr/>
        </xdr:nvGrpSpPr>
        <xdr:grpSpPr>
          <a:xfrm>
            <a:off x="7068530" y="1899286"/>
            <a:ext cx="2269066" cy="694266"/>
            <a:chOff x="69540" y="4408206"/>
            <a:chExt cx="2269066" cy="694266"/>
          </a:xfrm>
        </xdr:grpSpPr>
        <xdr:sp macro="" textlink="">
          <xdr:nvSpPr>
            <xdr:cNvPr id="369" name="Rectángulo redondeado 368">
              <a:extLst>
                <a:ext uri="{FF2B5EF4-FFF2-40B4-BE49-F238E27FC236}">
                  <a16:creationId xmlns:a16="http://schemas.microsoft.com/office/drawing/2014/main" id="{00000000-0008-0000-0100-000071010000}"/>
                </a:ext>
              </a:extLst>
            </xdr:cNvPr>
            <xdr:cNvSpPr/>
          </xdr:nvSpPr>
          <xdr:spPr>
            <a:xfrm>
              <a:off x="69540" y="4412961"/>
              <a:ext cx="2269066" cy="677334"/>
            </a:xfrm>
            <a:prstGeom prst="roundRect">
              <a:avLst/>
            </a:prstGeom>
            <a:solidFill>
              <a:srgbClr val="FFFFFF"/>
            </a:solidFill>
            <a:ln w="28575">
              <a:solidFill>
                <a:srgbClr val="3266CA"/>
              </a:solidFill>
            </a:ln>
            <a:effectLst>
              <a:outerShdw dist="50800" dir="2700000" algn="tl" rotWithShape="0">
                <a:srgbClr val="3266CA"/>
              </a:outerShdw>
            </a:effectLst>
          </xdr:spPr>
          <xdr:style>
            <a:lnRef idx="3">
              <a:schemeClr val="lt1"/>
            </a:lnRef>
            <a:fillRef idx="1">
              <a:schemeClr val="accent5"/>
            </a:fillRef>
            <a:effectRef idx="1">
              <a:schemeClr val="accent5"/>
            </a:effectRef>
            <a:fontRef idx="minor">
              <a:schemeClr val="lt1"/>
            </a:fontRef>
          </xdr:style>
          <xdr:txBody>
            <a:bodyPr wrap="square" lIns="648000" r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spcBef>
                  <a:spcPts val="1800"/>
                </a:spcBef>
              </a:pPr>
              <a:r>
                <a:rPr lang="es-ES_tradnl" sz="2000">
                  <a:solidFill>
                    <a:schemeClr val="tx1">
                      <a:lumMod val="75000"/>
                      <a:lumOff val="25000"/>
                    </a:schemeClr>
                  </a:solidFill>
                  <a:latin typeface="Arial" panose="020B0604020202020204" pitchFamily="34" charset="0"/>
                  <a:cs typeface="Arial" panose="020B0604020202020204" pitchFamily="34" charset="0"/>
                </a:rPr>
                <a:t>Gestionado</a:t>
              </a:r>
            </a:p>
          </xdr:txBody>
        </xdr:sp>
        <xdr:sp macro="" textlink="">
          <xdr:nvSpPr>
            <xdr:cNvPr id="370" name="Redondear rectángulo de esquina del mismo lado 369">
              <a:extLst>
                <a:ext uri="{FF2B5EF4-FFF2-40B4-BE49-F238E27FC236}">
                  <a16:creationId xmlns:a16="http://schemas.microsoft.com/office/drawing/2014/main" id="{00000000-0008-0000-0100-000072010000}"/>
                </a:ext>
              </a:extLst>
            </xdr:cNvPr>
            <xdr:cNvSpPr/>
          </xdr:nvSpPr>
          <xdr:spPr>
            <a:xfrm rot="16200000">
              <a:off x="33162" y="4449339"/>
              <a:ext cx="694266" cy="612000"/>
            </a:xfrm>
            <a:prstGeom prst="round2SameRect">
              <a:avLst>
                <a:gd name="adj1" fmla="val 11721"/>
                <a:gd name="adj2" fmla="val 0"/>
              </a:avLst>
            </a:prstGeom>
            <a:solidFill>
              <a:srgbClr val="3266CA"/>
            </a:solidFill>
            <a:ln w="28575">
              <a:noFill/>
            </a:ln>
            <a:effectLst/>
          </xdr:spPr>
          <xdr:style>
            <a:lnRef idx="3">
              <a:schemeClr val="lt1"/>
            </a:lnRef>
            <a:fillRef idx="1">
              <a:schemeClr val="accent5"/>
            </a:fillRef>
            <a:effectRef idx="1">
              <a:schemeClr val="accent5"/>
            </a:effectRef>
            <a:fontRef idx="minor">
              <a:schemeClr val="lt1"/>
            </a:fontRef>
          </xdr:style>
          <xdr:txBody>
            <a:bodyPr vert="vert" wrap="square" lIns="0" tIns="0" rIns="0" b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es-ES_tradnl" sz="1400">
                  <a:solidFill>
                    <a:srgbClr val="FFFFFF"/>
                  </a:solidFill>
                </a:rPr>
                <a:t>NIVEL</a:t>
              </a:r>
            </a:p>
            <a:p>
              <a:pPr algn="ctr"/>
              <a:r>
                <a:rPr lang="es-ES_tradnl" sz="2000">
                  <a:solidFill>
                    <a:srgbClr val="FFFFFF"/>
                  </a:solidFill>
                  <a:latin typeface="+mj-lt"/>
                </a:rPr>
                <a:t>04</a:t>
              </a:r>
            </a:p>
          </xdr:txBody>
        </xdr:sp>
      </xdr:grpSp>
      <xdr:grpSp>
        <xdr:nvGrpSpPr>
          <xdr:cNvPr id="366" name="Grupo 365">
            <a:extLst>
              <a:ext uri="{FF2B5EF4-FFF2-40B4-BE49-F238E27FC236}">
                <a16:creationId xmlns:a16="http://schemas.microsoft.com/office/drawing/2014/main" id="{00000000-0008-0000-0100-00006E010000}"/>
              </a:ext>
            </a:extLst>
          </xdr:cNvPr>
          <xdr:cNvGrpSpPr/>
        </xdr:nvGrpSpPr>
        <xdr:grpSpPr>
          <a:xfrm>
            <a:off x="9302111" y="1230544"/>
            <a:ext cx="2269066" cy="694266"/>
            <a:chOff x="69540" y="4408206"/>
            <a:chExt cx="2269066" cy="694266"/>
          </a:xfrm>
        </xdr:grpSpPr>
        <xdr:sp macro="" textlink="">
          <xdr:nvSpPr>
            <xdr:cNvPr id="367" name="Rectángulo redondeado 366">
              <a:extLst>
                <a:ext uri="{FF2B5EF4-FFF2-40B4-BE49-F238E27FC236}">
                  <a16:creationId xmlns:a16="http://schemas.microsoft.com/office/drawing/2014/main" id="{00000000-0008-0000-0100-00006F010000}"/>
                </a:ext>
              </a:extLst>
            </xdr:cNvPr>
            <xdr:cNvSpPr/>
          </xdr:nvSpPr>
          <xdr:spPr>
            <a:xfrm>
              <a:off x="69540" y="4412961"/>
              <a:ext cx="2269066" cy="677334"/>
            </a:xfrm>
            <a:prstGeom prst="roundRect">
              <a:avLst/>
            </a:prstGeom>
            <a:solidFill>
              <a:srgbClr val="FFFFFF"/>
            </a:solidFill>
            <a:ln w="28575">
              <a:solidFill>
                <a:srgbClr val="3266CA"/>
              </a:solidFill>
            </a:ln>
            <a:effectLst>
              <a:outerShdw dist="50800" dir="2700000" algn="tl" rotWithShape="0">
                <a:srgbClr val="3266CA"/>
              </a:outerShdw>
            </a:effectLst>
          </xdr:spPr>
          <xdr:style>
            <a:lnRef idx="3">
              <a:schemeClr val="lt1"/>
            </a:lnRef>
            <a:fillRef idx="1">
              <a:schemeClr val="accent5"/>
            </a:fillRef>
            <a:effectRef idx="1">
              <a:schemeClr val="accent5"/>
            </a:effectRef>
            <a:fontRef idx="minor">
              <a:schemeClr val="lt1"/>
            </a:fontRef>
          </xdr:style>
          <xdr:txBody>
            <a:bodyPr wrap="square" lIns="648000" r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spcBef>
                  <a:spcPts val="1800"/>
                </a:spcBef>
              </a:pPr>
              <a:r>
                <a:rPr lang="es-ES_tradnl" sz="2000">
                  <a:solidFill>
                    <a:schemeClr val="tx1">
                      <a:lumMod val="75000"/>
                      <a:lumOff val="25000"/>
                    </a:schemeClr>
                  </a:solidFill>
                  <a:latin typeface="Arial" panose="020B0604020202020204" pitchFamily="34" charset="0"/>
                  <a:cs typeface="Arial" panose="020B0604020202020204" pitchFamily="34" charset="0"/>
                </a:rPr>
                <a:t>Optimizado</a:t>
              </a:r>
            </a:p>
          </xdr:txBody>
        </xdr:sp>
        <xdr:sp macro="" textlink="">
          <xdr:nvSpPr>
            <xdr:cNvPr id="368" name="Redondear rectángulo de esquina del mismo lado 367">
              <a:extLst>
                <a:ext uri="{FF2B5EF4-FFF2-40B4-BE49-F238E27FC236}">
                  <a16:creationId xmlns:a16="http://schemas.microsoft.com/office/drawing/2014/main" id="{00000000-0008-0000-0100-000070010000}"/>
                </a:ext>
              </a:extLst>
            </xdr:cNvPr>
            <xdr:cNvSpPr/>
          </xdr:nvSpPr>
          <xdr:spPr>
            <a:xfrm rot="16200000">
              <a:off x="33162" y="4449339"/>
              <a:ext cx="694266" cy="612000"/>
            </a:xfrm>
            <a:prstGeom prst="round2SameRect">
              <a:avLst>
                <a:gd name="adj1" fmla="val 11721"/>
                <a:gd name="adj2" fmla="val 0"/>
              </a:avLst>
            </a:prstGeom>
            <a:solidFill>
              <a:srgbClr val="3266CA"/>
            </a:solidFill>
            <a:ln w="28575">
              <a:noFill/>
            </a:ln>
            <a:effectLst/>
          </xdr:spPr>
          <xdr:style>
            <a:lnRef idx="3">
              <a:schemeClr val="lt1"/>
            </a:lnRef>
            <a:fillRef idx="1">
              <a:schemeClr val="accent5"/>
            </a:fillRef>
            <a:effectRef idx="1">
              <a:schemeClr val="accent5"/>
            </a:effectRef>
            <a:fontRef idx="minor">
              <a:schemeClr val="lt1"/>
            </a:fontRef>
          </xdr:style>
          <xdr:txBody>
            <a:bodyPr vert="vert" wrap="square" lIns="0" tIns="0" rIns="0" bIns="0"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es-ES_tradnl" sz="1400">
                  <a:solidFill>
                    <a:srgbClr val="FFFFFF"/>
                  </a:solidFill>
                </a:rPr>
                <a:t>NIVEL</a:t>
              </a:r>
            </a:p>
            <a:p>
              <a:pPr algn="ctr"/>
              <a:r>
                <a:rPr lang="es-ES_tradnl" sz="2000">
                  <a:solidFill>
                    <a:srgbClr val="FFFFFF"/>
                  </a:solidFill>
                  <a:latin typeface="+mj-lt"/>
                </a:rPr>
                <a:t>05</a:t>
              </a:r>
            </a:p>
          </xdr:txBody>
        </xdr:sp>
      </xdr:grpSp>
    </xdr:grpSp>
    <xdr:clientData/>
  </xdr:twoCellAnchor>
  <xdr:twoCellAnchor>
    <xdr:from>
      <xdr:col>1</xdr:col>
      <xdr:colOff>1845732</xdr:colOff>
      <xdr:row>190</xdr:row>
      <xdr:rowOff>42226</xdr:rowOff>
    </xdr:from>
    <xdr:to>
      <xdr:col>2</xdr:col>
      <xdr:colOff>2026652</xdr:colOff>
      <xdr:row>200</xdr:row>
      <xdr:rowOff>25737</xdr:rowOff>
    </xdr:to>
    <xdr:sp macro="" textlink="">
      <xdr:nvSpPr>
        <xdr:cNvPr id="346" name="23 CuadroTexto">
          <a:extLst>
            <a:ext uri="{FF2B5EF4-FFF2-40B4-BE49-F238E27FC236}">
              <a16:creationId xmlns:a16="http://schemas.microsoft.com/office/drawing/2014/main" id="{00000000-0008-0000-0100-00005A010000}"/>
            </a:ext>
          </a:extLst>
        </xdr:cNvPr>
        <xdr:cNvSpPr txBox="1"/>
      </xdr:nvSpPr>
      <xdr:spPr>
        <a:xfrm>
          <a:off x="2675465" y="52281559"/>
          <a:ext cx="2907187" cy="593111"/>
        </a:xfrm>
        <a:prstGeom prst="rect">
          <a:avLst/>
        </a:prstGeom>
        <a:noFill/>
      </xdr:spPr>
      <xdr:txBody>
        <a:bodyPr wrap="square" rtlCol="0">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r>
            <a:rPr lang="es-CO" sz="1600">
              <a:solidFill>
                <a:srgbClr val="16B0B5"/>
              </a:solidFill>
            </a:rPr>
            <a:t>*Fuente: Elaboración integrando OPM3</a:t>
          </a:r>
        </a:p>
      </xdr:txBody>
    </xdr:sp>
    <xdr:clientData/>
  </xdr:twoCellAnchor>
  <xdr:twoCellAnchor>
    <xdr:from>
      <xdr:col>1</xdr:col>
      <xdr:colOff>1473200</xdr:colOff>
      <xdr:row>164</xdr:row>
      <xdr:rowOff>157013</xdr:rowOff>
    </xdr:from>
    <xdr:to>
      <xdr:col>3</xdr:col>
      <xdr:colOff>2116666</xdr:colOff>
      <xdr:row>169</xdr:row>
      <xdr:rowOff>64343</xdr:rowOff>
    </xdr:to>
    <xdr:sp macro="" textlink="">
      <xdr:nvSpPr>
        <xdr:cNvPr id="347" name="Rectángulo 346">
          <a:extLst>
            <a:ext uri="{FF2B5EF4-FFF2-40B4-BE49-F238E27FC236}">
              <a16:creationId xmlns:a16="http://schemas.microsoft.com/office/drawing/2014/main" id="{00000000-0008-0000-0100-00005B010000}"/>
            </a:ext>
          </a:extLst>
        </xdr:cNvPr>
        <xdr:cNvSpPr/>
      </xdr:nvSpPr>
      <xdr:spPr>
        <a:xfrm>
          <a:off x="2302933" y="47113146"/>
          <a:ext cx="6096000" cy="923330"/>
        </a:xfrm>
        <a:prstGeom prst="rect">
          <a:avLst/>
        </a:prstGeom>
      </xdr:spPr>
      <xdr:txBody>
        <a:bodyPr wrap="square">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mn-lt"/>
              <a:ea typeface="+mn-ea"/>
              <a:cs typeface="+mn-cs"/>
              <a:sym typeface="Calibri"/>
            </a:defRPr>
          </a:lvl9pPr>
        </a:lstStyle>
        <a:p>
          <a:r>
            <a:rPr lang="es-CO">
              <a:latin typeface="Arial" panose="020B0604020202020204" pitchFamily="34" charset="0"/>
              <a:ea typeface="Times New Roman" panose="02020603050405020304" pitchFamily="18" charset="0"/>
              <a:cs typeface="Times New Roman" panose="02020603050405020304" pitchFamily="18" charset="0"/>
            </a:rPr>
            <a:t>Evalúa y mide el nivel de desarrollo de la práctica de gestión de proyectos que garantice el éxito en su ejecución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10</xdr:col>
      <xdr:colOff>207726</xdr:colOff>
      <xdr:row>4</xdr:row>
      <xdr:rowOff>119460</xdr:rowOff>
    </xdr:to>
    <xdr:sp macro="" textlink="">
      <xdr:nvSpPr>
        <xdr:cNvPr id="2" name="Título 2">
          <a:extLst>
            <a:ext uri="{FF2B5EF4-FFF2-40B4-BE49-F238E27FC236}">
              <a16:creationId xmlns:a16="http://schemas.microsoft.com/office/drawing/2014/main" id="{34923B32-D732-5545-808C-15BA91302E2C}"/>
            </a:ext>
          </a:extLst>
        </xdr:cNvPr>
        <xdr:cNvSpPr>
          <a:spLocks noGrp="1"/>
        </xdr:cNvSpPr>
      </xdr:nvSpPr>
      <xdr:spPr>
        <a:xfrm>
          <a:off x="1651000" y="406400"/>
          <a:ext cx="6811726" cy="525860"/>
        </a:xfrm>
        <a:prstGeom prst="rect">
          <a:avLst/>
        </a:prstGeom>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45719" rIns="45719" anchor="ctr">
          <a:noAutofit/>
        </a:bodyPr>
        <a:lstStyle>
          <a:lvl1pPr marL="0" marR="0" indent="0" algn="r" defTabSz="914400" rtl="0" latinLnBrk="0">
            <a:lnSpc>
              <a:spcPct val="90000"/>
            </a:lnSpc>
            <a:spcBef>
              <a:spcPts val="0"/>
            </a:spcBef>
            <a:spcAft>
              <a:spcPts val="0"/>
            </a:spcAft>
            <a:buClrTx/>
            <a:buSzTx/>
            <a:buFontTx/>
            <a:buNone/>
            <a:tabLst/>
            <a:defRPr sz="2200" b="1" i="0" u="none" strike="noStrike" cap="none" spc="0" baseline="0">
              <a:solidFill>
                <a:srgbClr val="FFFFFF"/>
              </a:solidFill>
              <a:uFillTx/>
              <a:latin typeface="Work Sans Black"/>
              <a:ea typeface="Work Sans Black"/>
              <a:cs typeface="Work Sans Black"/>
              <a:sym typeface="Work Sans"/>
            </a:defRPr>
          </a:lvl1pPr>
          <a:lvl2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2pPr>
          <a:lvl3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3pPr>
          <a:lvl4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4pPr>
          <a:lvl5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5pPr>
          <a:lvl6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6pPr>
          <a:lvl7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7pPr>
          <a:lvl8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8pPr>
          <a:lvl9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9pPr>
        </a:lstStyle>
        <a:p>
          <a:pPr algn="ctr"/>
          <a:r>
            <a:rPr lang="es-CO" sz="3600">
              <a:solidFill>
                <a:srgbClr val="3166CA"/>
              </a:solidFill>
            </a:rPr>
            <a:t>Instrucciones </a:t>
          </a:r>
        </a:p>
      </xdr:txBody>
    </xdr:sp>
    <xdr:clientData/>
  </xdr:twoCellAnchor>
  <xdr:twoCellAnchor editAs="oneCell">
    <xdr:from>
      <xdr:col>1</xdr:col>
      <xdr:colOff>258234</xdr:colOff>
      <xdr:row>46</xdr:row>
      <xdr:rowOff>143934</xdr:rowOff>
    </xdr:from>
    <xdr:to>
      <xdr:col>10</xdr:col>
      <xdr:colOff>499534</xdr:colOff>
      <xdr:row>56</xdr:row>
      <xdr:rowOff>3749</xdr:rowOff>
    </xdr:to>
    <xdr:pic>
      <xdr:nvPicPr>
        <xdr:cNvPr id="4" name="Imagen 3" descr="Cuadro de evaluación de elementos">
          <a:extLst>
            <a:ext uri="{FF2B5EF4-FFF2-40B4-BE49-F238E27FC236}">
              <a16:creationId xmlns:a16="http://schemas.microsoft.com/office/drawing/2014/main" id="{73AF25E4-6917-CE4A-B561-501430DDADCC}"/>
            </a:ext>
            <a:ext uri="{C183D7F6-B498-43B3-948B-1728B52AA6E4}">
              <adec:decorative xmlns:adec="http://schemas.microsoft.com/office/drawing/2017/decorative" val="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07"/>
        <a:stretch/>
      </xdr:blipFill>
      <xdr:spPr>
        <a:xfrm>
          <a:off x="1083734" y="9986434"/>
          <a:ext cx="7670800" cy="1976482"/>
        </a:xfrm>
        <a:prstGeom prst="rect">
          <a:avLst/>
        </a:prstGeom>
      </xdr:spPr>
    </xdr:pic>
    <xdr:clientData/>
  </xdr:twoCellAnchor>
  <xdr:twoCellAnchor editAs="oneCell">
    <xdr:from>
      <xdr:col>1</xdr:col>
      <xdr:colOff>127000</xdr:colOff>
      <xdr:row>66</xdr:row>
      <xdr:rowOff>42334</xdr:rowOff>
    </xdr:from>
    <xdr:to>
      <xdr:col>10</xdr:col>
      <xdr:colOff>469900</xdr:colOff>
      <xdr:row>80</xdr:row>
      <xdr:rowOff>95874</xdr:rowOff>
    </xdr:to>
    <xdr:pic>
      <xdr:nvPicPr>
        <xdr:cNvPr id="6" name="Imagen 5">
          <a:extLst>
            <a:ext uri="{FF2B5EF4-FFF2-40B4-BE49-F238E27FC236}">
              <a16:creationId xmlns:a16="http://schemas.microsoft.com/office/drawing/2014/main" id="{CBB686B5-C795-8B44-9E46-4F31686F9F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0" y="14118167"/>
          <a:ext cx="7772400" cy="3016874"/>
        </a:xfrm>
        <a:prstGeom prst="rect">
          <a:avLst/>
        </a:prstGeom>
      </xdr:spPr>
    </xdr:pic>
    <xdr:clientData/>
  </xdr:twoCellAnchor>
  <xdr:twoCellAnchor editAs="oneCell">
    <xdr:from>
      <xdr:col>1</xdr:col>
      <xdr:colOff>313266</xdr:colOff>
      <xdr:row>103</xdr:row>
      <xdr:rowOff>69213</xdr:rowOff>
    </xdr:from>
    <xdr:to>
      <xdr:col>10</xdr:col>
      <xdr:colOff>440266</xdr:colOff>
      <xdr:row>126</xdr:row>
      <xdr:rowOff>187705</xdr:rowOff>
    </xdr:to>
    <xdr:pic>
      <xdr:nvPicPr>
        <xdr:cNvPr id="8" name="Imagen 7">
          <a:extLst>
            <a:ext uri="{FF2B5EF4-FFF2-40B4-BE49-F238E27FC236}">
              <a16:creationId xmlns:a16="http://schemas.microsoft.com/office/drawing/2014/main" id="{E2F5465E-BD26-A64F-9E38-8B6C1702513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38766" y="21976713"/>
          <a:ext cx="7556500" cy="4996352"/>
        </a:xfrm>
        <a:prstGeom prst="rect">
          <a:avLst/>
        </a:prstGeom>
      </xdr:spPr>
    </xdr:pic>
    <xdr:clientData/>
  </xdr:twoCellAnchor>
  <xdr:twoCellAnchor editAs="oneCell">
    <xdr:from>
      <xdr:col>1</xdr:col>
      <xdr:colOff>520700</xdr:colOff>
      <xdr:row>147</xdr:row>
      <xdr:rowOff>50800</xdr:rowOff>
    </xdr:from>
    <xdr:to>
      <xdr:col>10</xdr:col>
      <xdr:colOff>8673</xdr:colOff>
      <xdr:row>170</xdr:row>
      <xdr:rowOff>104140</xdr:rowOff>
    </xdr:to>
    <xdr:pic>
      <xdr:nvPicPr>
        <xdr:cNvPr id="10" name="Imagen 9">
          <a:extLst>
            <a:ext uri="{FF2B5EF4-FFF2-40B4-BE49-F238E27FC236}">
              <a16:creationId xmlns:a16="http://schemas.microsoft.com/office/drawing/2014/main" id="{EE12D7C3-1826-6D45-8DD8-BE6A5742C1B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46200" y="31271633"/>
          <a:ext cx="6917473" cy="49216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10</xdr:col>
      <xdr:colOff>207726</xdr:colOff>
      <xdr:row>4</xdr:row>
      <xdr:rowOff>119460</xdr:rowOff>
    </xdr:to>
    <xdr:sp macro="" textlink="">
      <xdr:nvSpPr>
        <xdr:cNvPr id="2" name="Título 2">
          <a:extLst>
            <a:ext uri="{FF2B5EF4-FFF2-40B4-BE49-F238E27FC236}">
              <a16:creationId xmlns:a16="http://schemas.microsoft.com/office/drawing/2014/main" id="{6B248C14-A67D-6249-BFBF-AE6136BB5133}"/>
            </a:ext>
          </a:extLst>
        </xdr:cNvPr>
        <xdr:cNvSpPr>
          <a:spLocks noGrp="1"/>
        </xdr:cNvSpPr>
      </xdr:nvSpPr>
      <xdr:spPr>
        <a:xfrm>
          <a:off x="1651000" y="406400"/>
          <a:ext cx="6811726" cy="525860"/>
        </a:xfrm>
        <a:prstGeom prst="rect">
          <a:avLst/>
        </a:prstGeom>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45719" rIns="45719" anchor="ctr">
          <a:noAutofit/>
        </a:bodyPr>
        <a:lstStyle>
          <a:lvl1pPr marL="0" marR="0" indent="0" algn="r" defTabSz="914400" rtl="0" latinLnBrk="0">
            <a:lnSpc>
              <a:spcPct val="90000"/>
            </a:lnSpc>
            <a:spcBef>
              <a:spcPts val="0"/>
            </a:spcBef>
            <a:spcAft>
              <a:spcPts val="0"/>
            </a:spcAft>
            <a:buClrTx/>
            <a:buSzTx/>
            <a:buFontTx/>
            <a:buNone/>
            <a:tabLst/>
            <a:defRPr sz="2200" b="1" i="0" u="none" strike="noStrike" cap="none" spc="0" baseline="0">
              <a:solidFill>
                <a:srgbClr val="FFFFFF"/>
              </a:solidFill>
              <a:uFillTx/>
              <a:latin typeface="Work Sans Black"/>
              <a:ea typeface="Work Sans Black"/>
              <a:cs typeface="Work Sans Black"/>
              <a:sym typeface="Work Sans"/>
            </a:defRPr>
          </a:lvl1pPr>
          <a:lvl2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2pPr>
          <a:lvl3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3pPr>
          <a:lvl4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4pPr>
          <a:lvl5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5pPr>
          <a:lvl6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6pPr>
          <a:lvl7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7pPr>
          <a:lvl8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8pPr>
          <a:lvl9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9pPr>
        </a:lstStyle>
        <a:p>
          <a:pPr algn="ctr"/>
          <a:r>
            <a:rPr lang="es-CO" sz="3600">
              <a:solidFill>
                <a:srgbClr val="3166CA"/>
              </a:solidFill>
            </a:rPr>
            <a:t>Instrucciones </a:t>
          </a:r>
        </a:p>
      </xdr:txBody>
    </xdr:sp>
    <xdr:clientData/>
  </xdr:twoCellAnchor>
  <xdr:twoCellAnchor editAs="oneCell">
    <xdr:from>
      <xdr:col>1</xdr:col>
      <xdr:colOff>127000</xdr:colOff>
      <xdr:row>71</xdr:row>
      <xdr:rowOff>32712</xdr:rowOff>
    </xdr:from>
    <xdr:to>
      <xdr:col>10</xdr:col>
      <xdr:colOff>469900</xdr:colOff>
      <xdr:row>83</xdr:row>
      <xdr:rowOff>3896</xdr:rowOff>
    </xdr:to>
    <xdr:pic>
      <xdr:nvPicPr>
        <xdr:cNvPr id="4" name="Imagen 3">
          <a:extLst>
            <a:ext uri="{FF2B5EF4-FFF2-40B4-BE49-F238E27FC236}">
              <a16:creationId xmlns:a16="http://schemas.microsoft.com/office/drawing/2014/main" id="{C3D8C4B4-DE9D-6347-8B82-C0B103F18D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52500" y="13926512"/>
          <a:ext cx="7772400" cy="2409584"/>
        </a:xfrm>
        <a:prstGeom prst="rect">
          <a:avLst/>
        </a:prstGeom>
      </xdr:spPr>
    </xdr:pic>
    <xdr:clientData/>
  </xdr:twoCellAnchor>
  <xdr:twoCellAnchor editAs="oneCell">
    <xdr:from>
      <xdr:col>1</xdr:col>
      <xdr:colOff>362403</xdr:colOff>
      <xdr:row>108</xdr:row>
      <xdr:rowOff>105840</xdr:rowOff>
    </xdr:from>
    <xdr:to>
      <xdr:col>10</xdr:col>
      <xdr:colOff>489403</xdr:colOff>
      <xdr:row>128</xdr:row>
      <xdr:rowOff>27050</xdr:rowOff>
    </xdr:to>
    <xdr:pic>
      <xdr:nvPicPr>
        <xdr:cNvPr id="5" name="Imagen 4">
          <a:extLst>
            <a:ext uri="{FF2B5EF4-FFF2-40B4-BE49-F238E27FC236}">
              <a16:creationId xmlns:a16="http://schemas.microsoft.com/office/drawing/2014/main" id="{98EFC2D2-43A7-6849-AB7B-60C54F154D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90171" y="22795751"/>
          <a:ext cx="7576911" cy="4003353"/>
        </a:xfrm>
        <a:prstGeom prst="rect">
          <a:avLst/>
        </a:prstGeom>
      </xdr:spPr>
    </xdr:pic>
    <xdr:clientData/>
  </xdr:twoCellAnchor>
  <xdr:twoCellAnchor editAs="oneCell">
    <xdr:from>
      <xdr:col>1</xdr:col>
      <xdr:colOff>120348</xdr:colOff>
      <xdr:row>47</xdr:row>
      <xdr:rowOff>41864</xdr:rowOff>
    </xdr:from>
    <xdr:to>
      <xdr:col>10</xdr:col>
      <xdr:colOff>601375</xdr:colOff>
      <xdr:row>57</xdr:row>
      <xdr:rowOff>111441</xdr:rowOff>
    </xdr:to>
    <xdr:pic>
      <xdr:nvPicPr>
        <xdr:cNvPr id="10" name="Imagen 9">
          <a:extLst>
            <a:ext uri="{FF2B5EF4-FFF2-40B4-BE49-F238E27FC236}">
              <a16:creationId xmlns:a16="http://schemas.microsoft.com/office/drawing/2014/main" id="{0C6141CE-0E6A-BC49-B81F-21A8255956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48116" y="9929721"/>
          <a:ext cx="7930938" cy="2110649"/>
        </a:xfrm>
        <a:prstGeom prst="rect">
          <a:avLst/>
        </a:prstGeom>
      </xdr:spPr>
    </xdr:pic>
    <xdr:clientData/>
  </xdr:twoCellAnchor>
  <xdr:twoCellAnchor editAs="oneCell">
    <xdr:from>
      <xdr:col>1</xdr:col>
      <xdr:colOff>171349</xdr:colOff>
      <xdr:row>152</xdr:row>
      <xdr:rowOff>57972</xdr:rowOff>
    </xdr:from>
    <xdr:to>
      <xdr:col>10</xdr:col>
      <xdr:colOff>505178</xdr:colOff>
      <xdr:row>171</xdr:row>
      <xdr:rowOff>171061</xdr:rowOff>
    </xdr:to>
    <xdr:pic>
      <xdr:nvPicPr>
        <xdr:cNvPr id="12" name="Imagen 11">
          <a:extLst>
            <a:ext uri="{FF2B5EF4-FFF2-40B4-BE49-F238E27FC236}">
              <a16:creationId xmlns:a16="http://schemas.microsoft.com/office/drawing/2014/main" id="{C9A77A91-D5D4-EA45-86EA-AA4E23D1068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999117" y="31728597"/>
          <a:ext cx="7783740" cy="3991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10</xdr:col>
      <xdr:colOff>207726</xdr:colOff>
      <xdr:row>4</xdr:row>
      <xdr:rowOff>119460</xdr:rowOff>
    </xdr:to>
    <xdr:sp macro="" textlink="">
      <xdr:nvSpPr>
        <xdr:cNvPr id="2" name="Título 2">
          <a:extLst>
            <a:ext uri="{FF2B5EF4-FFF2-40B4-BE49-F238E27FC236}">
              <a16:creationId xmlns:a16="http://schemas.microsoft.com/office/drawing/2014/main" id="{B9FC4F94-BA7B-2D46-B001-2CD20E782D64}"/>
            </a:ext>
          </a:extLst>
        </xdr:cNvPr>
        <xdr:cNvSpPr>
          <a:spLocks noGrp="1"/>
        </xdr:cNvSpPr>
      </xdr:nvSpPr>
      <xdr:spPr>
        <a:xfrm>
          <a:off x="1651000" y="406400"/>
          <a:ext cx="6811726" cy="525860"/>
        </a:xfrm>
        <a:prstGeom prst="rect">
          <a:avLst/>
        </a:prstGeom>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45719" rIns="45719" anchor="ctr">
          <a:noAutofit/>
        </a:bodyPr>
        <a:lstStyle>
          <a:lvl1pPr marL="0" marR="0" indent="0" algn="r" defTabSz="914400" rtl="0" latinLnBrk="0">
            <a:lnSpc>
              <a:spcPct val="90000"/>
            </a:lnSpc>
            <a:spcBef>
              <a:spcPts val="0"/>
            </a:spcBef>
            <a:spcAft>
              <a:spcPts val="0"/>
            </a:spcAft>
            <a:buClrTx/>
            <a:buSzTx/>
            <a:buFontTx/>
            <a:buNone/>
            <a:tabLst/>
            <a:defRPr sz="2200" b="1" i="0" u="none" strike="noStrike" cap="none" spc="0" baseline="0">
              <a:solidFill>
                <a:srgbClr val="FFFFFF"/>
              </a:solidFill>
              <a:uFillTx/>
              <a:latin typeface="Work Sans Black"/>
              <a:ea typeface="Work Sans Black"/>
              <a:cs typeface="Work Sans Black"/>
              <a:sym typeface="Work Sans"/>
            </a:defRPr>
          </a:lvl1pPr>
          <a:lvl2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2pPr>
          <a:lvl3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3pPr>
          <a:lvl4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4pPr>
          <a:lvl5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5pPr>
          <a:lvl6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6pPr>
          <a:lvl7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7pPr>
          <a:lvl8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8pPr>
          <a:lvl9pPr marL="0" marR="0" indent="0" algn="l" defTabSz="914400" rtl="0" latinLnBrk="0">
            <a:lnSpc>
              <a:spcPct val="90000"/>
            </a:lnSpc>
            <a:spcBef>
              <a:spcPts val="0"/>
            </a:spcBef>
            <a:spcAft>
              <a:spcPts val="0"/>
            </a:spcAft>
            <a:buClrTx/>
            <a:buSzTx/>
            <a:buFontTx/>
            <a:buNone/>
            <a:tabLst/>
            <a:defRPr sz="4200" b="1" i="0" u="none" strike="noStrike" cap="none" spc="0" baseline="0">
              <a:solidFill>
                <a:srgbClr val="002E6A"/>
              </a:solidFill>
              <a:uFillTx/>
              <a:latin typeface="Work Sans Black"/>
              <a:ea typeface="Work Sans Black"/>
              <a:cs typeface="Work Sans Black"/>
              <a:sym typeface="Work Sans"/>
            </a:defRPr>
          </a:lvl9pPr>
        </a:lstStyle>
        <a:p>
          <a:pPr algn="ctr"/>
          <a:r>
            <a:rPr lang="es-CO" sz="3600">
              <a:solidFill>
                <a:srgbClr val="3166CA"/>
              </a:solidFill>
            </a:rPr>
            <a:t>Instrucciones </a:t>
          </a:r>
        </a:p>
      </xdr:txBody>
    </xdr:sp>
    <xdr:clientData/>
  </xdr:twoCellAnchor>
  <xdr:twoCellAnchor editAs="oneCell">
    <xdr:from>
      <xdr:col>1</xdr:col>
      <xdr:colOff>291327</xdr:colOff>
      <xdr:row>81</xdr:row>
      <xdr:rowOff>82866</xdr:rowOff>
    </xdr:from>
    <xdr:to>
      <xdr:col>10</xdr:col>
      <xdr:colOff>278550</xdr:colOff>
      <xdr:row>95</xdr:row>
      <xdr:rowOff>136407</xdr:rowOff>
    </xdr:to>
    <xdr:pic>
      <xdr:nvPicPr>
        <xdr:cNvPr id="4" name="Imagen 3">
          <a:extLst>
            <a:ext uri="{FF2B5EF4-FFF2-40B4-BE49-F238E27FC236}">
              <a16:creationId xmlns:a16="http://schemas.microsoft.com/office/drawing/2014/main" id="{3ABC1C15-6B29-0742-BB3B-918F3D822A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15476" y="14201483"/>
          <a:ext cx="7404563" cy="2890775"/>
        </a:xfrm>
        <a:prstGeom prst="rect">
          <a:avLst/>
        </a:prstGeom>
      </xdr:spPr>
    </xdr:pic>
    <xdr:clientData/>
  </xdr:twoCellAnchor>
  <xdr:twoCellAnchor editAs="oneCell">
    <xdr:from>
      <xdr:col>1</xdr:col>
      <xdr:colOff>313266</xdr:colOff>
      <xdr:row>117</xdr:row>
      <xdr:rowOff>51747</xdr:rowOff>
    </xdr:from>
    <xdr:to>
      <xdr:col>10</xdr:col>
      <xdr:colOff>440266</xdr:colOff>
      <xdr:row>135</xdr:row>
      <xdr:rowOff>12037</xdr:rowOff>
    </xdr:to>
    <xdr:pic>
      <xdr:nvPicPr>
        <xdr:cNvPr id="5" name="Imagen 4">
          <a:extLst>
            <a:ext uri="{FF2B5EF4-FFF2-40B4-BE49-F238E27FC236}">
              <a16:creationId xmlns:a16="http://schemas.microsoft.com/office/drawing/2014/main" id="{6320E506-4EEA-AD4A-A07B-CB9312E0A1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137415" y="22276747"/>
          <a:ext cx="7544340" cy="3608162"/>
        </a:xfrm>
        <a:prstGeom prst="rect">
          <a:avLst/>
        </a:prstGeom>
      </xdr:spPr>
    </xdr:pic>
    <xdr:clientData/>
  </xdr:twoCellAnchor>
  <xdr:twoCellAnchor editAs="oneCell">
    <xdr:from>
      <xdr:col>1</xdr:col>
      <xdr:colOff>166294</xdr:colOff>
      <xdr:row>157</xdr:row>
      <xdr:rowOff>13511</xdr:rowOff>
    </xdr:from>
    <xdr:to>
      <xdr:col>11</xdr:col>
      <xdr:colOff>180575</xdr:colOff>
      <xdr:row>175</xdr:row>
      <xdr:rowOff>22883</xdr:rowOff>
    </xdr:to>
    <xdr:pic>
      <xdr:nvPicPr>
        <xdr:cNvPr id="6" name="Imagen 5">
          <a:extLst>
            <a:ext uri="{FF2B5EF4-FFF2-40B4-BE49-F238E27FC236}">
              <a16:creationId xmlns:a16="http://schemas.microsoft.com/office/drawing/2014/main" id="{4FC77C5B-4DFB-7A4D-A023-5B54C796FCA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990078" y="33113601"/>
          <a:ext cx="8252119" cy="3716399"/>
        </a:xfrm>
        <a:prstGeom prst="rect">
          <a:avLst/>
        </a:prstGeom>
      </xdr:spPr>
    </xdr:pic>
    <xdr:clientData/>
  </xdr:twoCellAnchor>
  <xdr:twoCellAnchor editAs="oneCell">
    <xdr:from>
      <xdr:col>1</xdr:col>
      <xdr:colOff>202659</xdr:colOff>
      <xdr:row>54</xdr:row>
      <xdr:rowOff>13511</xdr:rowOff>
    </xdr:from>
    <xdr:to>
      <xdr:col>10</xdr:col>
      <xdr:colOff>557719</xdr:colOff>
      <xdr:row>68</xdr:row>
      <xdr:rowOff>32487</xdr:rowOff>
    </xdr:to>
    <xdr:pic>
      <xdr:nvPicPr>
        <xdr:cNvPr id="8" name="Imagen 7">
          <a:extLst>
            <a:ext uri="{FF2B5EF4-FFF2-40B4-BE49-F238E27FC236}">
              <a16:creationId xmlns:a16="http://schemas.microsoft.com/office/drawing/2014/main" id="{86639B5E-EC38-4943-A147-966D6B903CD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6808" y="9268298"/>
          <a:ext cx="7772400" cy="28562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592667</xdr:colOff>
      <xdr:row>8</xdr:row>
      <xdr:rowOff>285044</xdr:rowOff>
    </xdr:from>
    <xdr:to>
      <xdr:col>8</xdr:col>
      <xdr:colOff>451556</xdr:colOff>
      <xdr:row>8</xdr:row>
      <xdr:rowOff>5150555</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2472651</xdr:colOff>
      <xdr:row>6</xdr:row>
      <xdr:rowOff>59268</xdr:rowOff>
    </xdr:from>
    <xdr:to>
      <xdr:col>5</xdr:col>
      <xdr:colOff>971742</xdr:colOff>
      <xdr:row>13</xdr:row>
      <xdr:rowOff>4212167</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2167467</xdr:colOff>
      <xdr:row>22</xdr:row>
      <xdr:rowOff>135467</xdr:rowOff>
    </xdr:from>
    <xdr:to>
      <xdr:col>6</xdr:col>
      <xdr:colOff>67734</xdr:colOff>
      <xdr:row>23</xdr:row>
      <xdr:rowOff>4741333</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2286001</xdr:colOff>
      <xdr:row>34</xdr:row>
      <xdr:rowOff>-1</xdr:rowOff>
    </xdr:from>
    <xdr:to>
      <xdr:col>6</xdr:col>
      <xdr:colOff>203200</xdr:colOff>
      <xdr:row>34</xdr:row>
      <xdr:rowOff>4995332</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2099733</xdr:colOff>
      <xdr:row>46</xdr:row>
      <xdr:rowOff>33867</xdr:rowOff>
    </xdr:from>
    <xdr:to>
      <xdr:col>6</xdr:col>
      <xdr:colOff>0</xdr:colOff>
      <xdr:row>46</xdr:row>
      <xdr:rowOff>4842933</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2133601</xdr:colOff>
      <xdr:row>58</xdr:row>
      <xdr:rowOff>101600</xdr:rowOff>
    </xdr:from>
    <xdr:to>
      <xdr:col>6</xdr:col>
      <xdr:colOff>1337735</xdr:colOff>
      <xdr:row>58</xdr:row>
      <xdr:rowOff>5130800</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2366818</xdr:colOff>
      <xdr:row>13</xdr:row>
      <xdr:rowOff>270934</xdr:rowOff>
    </xdr:from>
    <xdr:to>
      <xdr:col>6</xdr:col>
      <xdr:colOff>865909</xdr:colOff>
      <xdr:row>13</xdr:row>
      <xdr:rowOff>5080000</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2167467</xdr:colOff>
      <xdr:row>26</xdr:row>
      <xdr:rowOff>135467</xdr:rowOff>
    </xdr:from>
    <xdr:to>
      <xdr:col>7</xdr:col>
      <xdr:colOff>67734</xdr:colOff>
      <xdr:row>27</xdr:row>
      <xdr:rowOff>4741333</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2286001</xdr:colOff>
      <xdr:row>39</xdr:row>
      <xdr:rowOff>-1</xdr:rowOff>
    </xdr:from>
    <xdr:to>
      <xdr:col>7</xdr:col>
      <xdr:colOff>203200</xdr:colOff>
      <xdr:row>39</xdr:row>
      <xdr:rowOff>4995332</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2099733</xdr:colOff>
      <xdr:row>52</xdr:row>
      <xdr:rowOff>33867</xdr:rowOff>
    </xdr:from>
    <xdr:to>
      <xdr:col>7</xdr:col>
      <xdr:colOff>0</xdr:colOff>
      <xdr:row>52</xdr:row>
      <xdr:rowOff>4842933</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2133601</xdr:colOff>
      <xdr:row>65</xdr:row>
      <xdr:rowOff>101600</xdr:rowOff>
    </xdr:from>
    <xdr:to>
      <xdr:col>7</xdr:col>
      <xdr:colOff>1337735</xdr:colOff>
      <xdr:row>65</xdr:row>
      <xdr:rowOff>5130800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1693332</xdr:colOff>
      <xdr:row>75</xdr:row>
      <xdr:rowOff>169333</xdr:rowOff>
    </xdr:from>
    <xdr:to>
      <xdr:col>7</xdr:col>
      <xdr:colOff>931333</xdr:colOff>
      <xdr:row>77</xdr:row>
      <xdr:rowOff>16934</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2184401</xdr:colOff>
      <xdr:row>88</xdr:row>
      <xdr:rowOff>220134</xdr:rowOff>
    </xdr:from>
    <xdr:to>
      <xdr:col>7</xdr:col>
      <xdr:colOff>321735</xdr:colOff>
      <xdr:row>88</xdr:row>
      <xdr:rowOff>4842934</xdr:rowOff>
    </xdr:to>
    <xdr:graphicFrame macro="">
      <xdr:nvGraphicFramePr>
        <xdr:cNvPr id="8" name="Gráfico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2341418</xdr:colOff>
      <xdr:row>5</xdr:row>
      <xdr:rowOff>80434</xdr:rowOff>
    </xdr:from>
    <xdr:to>
      <xdr:col>6</xdr:col>
      <xdr:colOff>840509</xdr:colOff>
      <xdr:row>13</xdr:row>
      <xdr:rowOff>4064000</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2167467</xdr:colOff>
      <xdr:row>24</xdr:row>
      <xdr:rowOff>135467</xdr:rowOff>
    </xdr:from>
    <xdr:to>
      <xdr:col>7</xdr:col>
      <xdr:colOff>67734</xdr:colOff>
      <xdr:row>25</xdr:row>
      <xdr:rowOff>4741333</xdr:rowOff>
    </xdr:to>
    <xdr:graphicFrame macro="">
      <xdr:nvGraphicFramePr>
        <xdr:cNvPr id="15" name="Gráfico 14">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2286001</xdr:colOff>
      <xdr:row>36</xdr:row>
      <xdr:rowOff>-1</xdr:rowOff>
    </xdr:from>
    <xdr:to>
      <xdr:col>7</xdr:col>
      <xdr:colOff>203200</xdr:colOff>
      <xdr:row>36</xdr:row>
      <xdr:rowOff>4995332</xdr:rowOff>
    </xdr:to>
    <xdr:graphicFrame macro="">
      <xdr:nvGraphicFramePr>
        <xdr:cNvPr id="16" name="Gráfico 15">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2099733</xdr:colOff>
      <xdr:row>49</xdr:row>
      <xdr:rowOff>33867</xdr:rowOff>
    </xdr:from>
    <xdr:to>
      <xdr:col>7</xdr:col>
      <xdr:colOff>0</xdr:colOff>
      <xdr:row>49</xdr:row>
      <xdr:rowOff>4842933</xdr:rowOff>
    </xdr:to>
    <xdr:graphicFrame macro="">
      <xdr:nvGraphicFramePr>
        <xdr:cNvPr id="17" name="Gráfico 16">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2133601</xdr:colOff>
      <xdr:row>63</xdr:row>
      <xdr:rowOff>101600</xdr:rowOff>
    </xdr:from>
    <xdr:to>
      <xdr:col>7</xdr:col>
      <xdr:colOff>1337735</xdr:colOff>
      <xdr:row>63</xdr:row>
      <xdr:rowOff>5130800</xdr:rowOff>
    </xdr:to>
    <xdr:graphicFrame macro="">
      <xdr:nvGraphicFramePr>
        <xdr:cNvPr id="18" name="Gráfico 17">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71E92-6391-D14D-98B9-5138663219E6}">
  <sheetPr codeName="Hoja1"/>
  <dimension ref="A1:K43"/>
  <sheetViews>
    <sheetView showGridLines="0" tabSelected="1" zoomScale="94" workbookViewId="0">
      <selection activeCell="C40" sqref="C40"/>
    </sheetView>
  </sheetViews>
  <sheetFormatPr baseColWidth="10" defaultColWidth="11" defaultRowHeight="15.75" x14ac:dyDescent="0.25"/>
  <cols>
    <col min="2" max="2" width="21.125" bestFit="1" customWidth="1"/>
    <col min="3" max="3" width="67.375" customWidth="1"/>
    <col min="4" max="4" width="18.125" customWidth="1"/>
    <col min="5" max="5" width="17.875" style="3" bestFit="1" customWidth="1"/>
    <col min="11" max="11" width="17.875" customWidth="1"/>
  </cols>
  <sheetData>
    <row r="1" spans="1:11" x14ac:dyDescent="0.25">
      <c r="A1" s="338"/>
      <c r="B1" s="34"/>
      <c r="C1" s="34"/>
      <c r="D1" s="34"/>
      <c r="E1" s="53"/>
      <c r="F1" s="34"/>
      <c r="G1" s="34"/>
      <c r="H1" s="34"/>
      <c r="I1" s="34"/>
      <c r="J1" s="34"/>
      <c r="K1" s="34"/>
    </row>
    <row r="2" spans="1:11" x14ac:dyDescent="0.25">
      <c r="B2" s="34"/>
      <c r="C2" s="34"/>
      <c r="D2" s="34"/>
      <c r="E2" s="53"/>
      <c r="F2" s="34"/>
      <c r="G2" s="34"/>
      <c r="H2" s="34"/>
      <c r="I2" s="34"/>
      <c r="J2" s="34"/>
      <c r="K2" s="34"/>
    </row>
    <row r="3" spans="1:11" x14ac:dyDescent="0.25">
      <c r="B3" s="34"/>
      <c r="C3" s="34"/>
      <c r="D3" s="34"/>
      <c r="E3" s="53"/>
      <c r="F3" s="34"/>
      <c r="G3" s="34"/>
      <c r="H3" s="34"/>
      <c r="I3" s="34"/>
      <c r="J3" s="34"/>
      <c r="K3" s="34"/>
    </row>
    <row r="4" spans="1:11" x14ac:dyDescent="0.25">
      <c r="B4" s="34"/>
      <c r="C4" s="34"/>
      <c r="D4" s="34"/>
      <c r="E4" s="53"/>
      <c r="F4" s="34"/>
      <c r="G4" s="34"/>
      <c r="H4" s="34"/>
      <c r="I4" s="34"/>
      <c r="J4" s="34"/>
      <c r="K4" s="34"/>
    </row>
    <row r="5" spans="1:11" x14ac:dyDescent="0.25">
      <c r="B5" s="34"/>
      <c r="C5" s="34"/>
      <c r="D5" s="34"/>
      <c r="E5" s="53"/>
      <c r="F5" s="34"/>
      <c r="G5" s="34"/>
      <c r="H5" s="34"/>
      <c r="I5" s="34"/>
      <c r="J5" s="34"/>
      <c r="K5" s="34"/>
    </row>
    <row r="6" spans="1:11" x14ac:dyDescent="0.25">
      <c r="B6" s="34"/>
      <c r="C6" s="34"/>
      <c r="D6" s="34"/>
      <c r="E6" s="53"/>
      <c r="F6" s="34"/>
      <c r="G6" s="34"/>
      <c r="H6" s="34"/>
      <c r="I6" s="34"/>
      <c r="J6" s="34"/>
      <c r="K6" s="34"/>
    </row>
    <row r="7" spans="1:11" x14ac:dyDescent="0.25">
      <c r="B7" s="34"/>
      <c r="C7" s="34"/>
      <c r="D7" s="34"/>
      <c r="E7" s="53"/>
      <c r="F7" s="34"/>
      <c r="G7" s="34"/>
      <c r="H7" s="34"/>
      <c r="I7" s="34"/>
      <c r="J7" s="34"/>
      <c r="K7" s="34"/>
    </row>
    <row r="8" spans="1:11" x14ac:dyDescent="0.25">
      <c r="B8" s="34"/>
      <c r="C8" s="34"/>
      <c r="D8" s="34"/>
      <c r="E8" s="53"/>
      <c r="F8" s="34"/>
      <c r="G8" s="34"/>
      <c r="H8" s="34"/>
      <c r="I8" s="34"/>
      <c r="J8" s="34"/>
      <c r="K8" s="34"/>
    </row>
    <row r="9" spans="1:11" x14ac:dyDescent="0.25">
      <c r="B9" s="34"/>
      <c r="C9" s="34"/>
      <c r="D9" s="34"/>
      <c r="E9" s="53"/>
      <c r="F9" s="34"/>
      <c r="G9" s="34"/>
      <c r="H9" s="34"/>
      <c r="I9" s="34"/>
      <c r="J9" s="34"/>
      <c r="K9" s="34"/>
    </row>
    <row r="10" spans="1:11" x14ac:dyDescent="0.25">
      <c r="B10" s="34"/>
      <c r="C10" s="34"/>
      <c r="D10" s="34"/>
      <c r="E10" s="53"/>
      <c r="F10" s="34"/>
      <c r="G10" s="34"/>
      <c r="H10" s="34"/>
      <c r="I10" s="34"/>
      <c r="J10" s="34"/>
      <c r="K10" s="34"/>
    </row>
    <row r="11" spans="1:11" x14ac:dyDescent="0.25">
      <c r="B11" s="34"/>
      <c r="C11" s="34"/>
      <c r="D11" s="34"/>
      <c r="E11" s="53"/>
      <c r="F11" s="34"/>
      <c r="G11" s="34"/>
      <c r="H11" s="34"/>
      <c r="I11" s="34"/>
      <c r="J11" s="34"/>
      <c r="K11" s="34"/>
    </row>
    <row r="12" spans="1:11" x14ac:dyDescent="0.25">
      <c r="B12" s="34"/>
      <c r="C12" s="34"/>
      <c r="D12" s="34"/>
      <c r="E12" s="53"/>
      <c r="F12" s="34"/>
      <c r="G12" s="34"/>
      <c r="H12" s="34"/>
      <c r="I12" s="34"/>
      <c r="J12" s="34"/>
      <c r="K12" s="34"/>
    </row>
    <row r="13" spans="1:11" x14ac:dyDescent="0.25">
      <c r="B13" s="34"/>
      <c r="C13" s="34"/>
      <c r="D13" s="34"/>
      <c r="E13" s="53"/>
      <c r="F13" s="34"/>
      <c r="G13" s="34"/>
      <c r="H13" s="34"/>
      <c r="I13" s="34"/>
      <c r="J13" s="34"/>
      <c r="K13" s="34"/>
    </row>
    <row r="14" spans="1:11" x14ac:dyDescent="0.25">
      <c r="B14" s="34"/>
      <c r="C14" s="34"/>
      <c r="D14" s="34"/>
      <c r="E14" s="53"/>
      <c r="F14" s="34"/>
      <c r="G14" s="34"/>
      <c r="H14" s="34"/>
      <c r="I14" s="34"/>
      <c r="J14" s="34"/>
      <c r="K14" s="34"/>
    </row>
    <row r="15" spans="1:11" x14ac:dyDescent="0.25">
      <c r="B15" s="34"/>
      <c r="C15" s="34"/>
      <c r="D15" s="34"/>
      <c r="E15" s="53"/>
      <c r="F15" s="34"/>
      <c r="G15" s="34"/>
      <c r="H15" s="34"/>
      <c r="I15" s="34"/>
      <c r="J15" s="34"/>
      <c r="K15" s="34"/>
    </row>
    <row r="16" spans="1:11" x14ac:dyDescent="0.25">
      <c r="B16" s="34"/>
      <c r="C16" s="34"/>
      <c r="D16" s="34"/>
      <c r="E16" s="53"/>
      <c r="F16" s="34"/>
      <c r="G16" s="34"/>
      <c r="H16" s="34"/>
      <c r="I16" s="34"/>
      <c r="J16" s="34"/>
      <c r="K16" s="34"/>
    </row>
    <row r="17" spans="2:11" x14ac:dyDescent="0.25">
      <c r="B17" s="34"/>
      <c r="C17" s="34"/>
      <c r="D17" s="34"/>
      <c r="E17" s="53"/>
      <c r="F17" s="34"/>
      <c r="G17" s="34"/>
      <c r="H17" s="34"/>
      <c r="I17" s="34"/>
      <c r="J17" s="34"/>
      <c r="K17" s="34"/>
    </row>
    <row r="18" spans="2:11" x14ac:dyDescent="0.25">
      <c r="B18" s="35"/>
      <c r="C18" s="34"/>
      <c r="D18" s="34"/>
      <c r="E18" s="53"/>
      <c r="F18" s="34"/>
      <c r="G18" s="34"/>
      <c r="H18" s="34"/>
      <c r="I18" s="34"/>
      <c r="J18" s="34"/>
      <c r="K18" s="34"/>
    </row>
    <row r="19" spans="2:11" ht="21" x14ac:dyDescent="0.35">
      <c r="B19" s="117" t="s">
        <v>0</v>
      </c>
      <c r="C19" s="34"/>
      <c r="D19" s="34"/>
      <c r="E19" s="53"/>
      <c r="F19" s="34"/>
      <c r="G19" s="34"/>
      <c r="H19" s="34"/>
      <c r="I19" s="34"/>
      <c r="J19" s="34"/>
      <c r="K19" s="34"/>
    </row>
    <row r="20" spans="2:11" ht="71.25" customHeight="1" x14ac:dyDescent="0.25">
      <c r="B20" s="350" t="s">
        <v>1</v>
      </c>
      <c r="C20" s="350"/>
      <c r="D20" s="350"/>
      <c r="E20" s="350"/>
      <c r="F20" s="150"/>
      <c r="G20" s="150"/>
      <c r="H20" s="150"/>
      <c r="I20" s="34"/>
      <c r="J20" s="34"/>
      <c r="K20" s="34"/>
    </row>
    <row r="22" spans="2:11" ht="21" x14ac:dyDescent="0.35">
      <c r="B22" s="117" t="s">
        <v>2</v>
      </c>
    </row>
    <row r="23" spans="2:11" ht="105" customHeight="1" x14ac:dyDescent="0.25">
      <c r="B23" s="351" t="s">
        <v>3</v>
      </c>
      <c r="C23" s="351"/>
      <c r="D23" s="351"/>
      <c r="E23" s="351"/>
      <c r="F23" s="137"/>
      <c r="G23" s="137"/>
      <c r="H23" s="137"/>
    </row>
    <row r="25" spans="2:11" ht="21" x14ac:dyDescent="0.35">
      <c r="B25" s="117" t="s">
        <v>4</v>
      </c>
    </row>
    <row r="26" spans="2:11" ht="30.95" customHeight="1" x14ac:dyDescent="0.25">
      <c r="B26" s="87" t="s">
        <v>5</v>
      </c>
      <c r="C26" s="87" t="s">
        <v>6</v>
      </c>
      <c r="D26" s="87" t="s">
        <v>7</v>
      </c>
      <c r="E26" s="87" t="s">
        <v>8</v>
      </c>
    </row>
    <row r="27" spans="2:11" ht="63" x14ac:dyDescent="0.25">
      <c r="B27" s="119" t="s">
        <v>9</v>
      </c>
      <c r="C27" s="119" t="s">
        <v>10</v>
      </c>
      <c r="D27" s="120" t="s">
        <v>11</v>
      </c>
      <c r="E27" s="293" t="s">
        <v>12</v>
      </c>
    </row>
    <row r="28" spans="2:11" ht="31.5" x14ac:dyDescent="0.25">
      <c r="B28" s="119" t="s">
        <v>13</v>
      </c>
      <c r="C28" s="119" t="s">
        <v>14</v>
      </c>
      <c r="D28" s="120" t="s">
        <v>13</v>
      </c>
      <c r="E28" s="293" t="s">
        <v>15</v>
      </c>
    </row>
    <row r="29" spans="2:11" ht="31.5" x14ac:dyDescent="0.25">
      <c r="B29" s="119" t="s">
        <v>13</v>
      </c>
      <c r="C29" s="119" t="s">
        <v>16</v>
      </c>
      <c r="D29" s="120" t="s">
        <v>17</v>
      </c>
      <c r="E29" s="293" t="s">
        <v>15</v>
      </c>
    </row>
    <row r="30" spans="2:11" ht="31.5" x14ac:dyDescent="0.25">
      <c r="B30" s="119" t="s">
        <v>13</v>
      </c>
      <c r="C30" s="119" t="s">
        <v>18</v>
      </c>
      <c r="D30" s="120" t="s">
        <v>19</v>
      </c>
      <c r="E30" s="293" t="s">
        <v>15</v>
      </c>
    </row>
    <row r="31" spans="2:11" ht="47.25" x14ac:dyDescent="0.25">
      <c r="B31" s="119" t="s">
        <v>20</v>
      </c>
      <c r="C31" s="119" t="s">
        <v>21</v>
      </c>
      <c r="D31" s="120" t="s">
        <v>22</v>
      </c>
      <c r="E31" s="294" t="s">
        <v>23</v>
      </c>
    </row>
    <row r="32" spans="2:11" ht="63" x14ac:dyDescent="0.25">
      <c r="B32" s="119" t="s">
        <v>24</v>
      </c>
      <c r="C32" s="119" t="s">
        <v>25</v>
      </c>
      <c r="D32" s="120" t="s">
        <v>26</v>
      </c>
      <c r="E32" s="294" t="s">
        <v>23</v>
      </c>
    </row>
    <row r="33" spans="2:5" ht="47.25" x14ac:dyDescent="0.25">
      <c r="B33" s="121" t="s">
        <v>27</v>
      </c>
      <c r="C33" s="119" t="s">
        <v>28</v>
      </c>
      <c r="D33" s="120" t="s">
        <v>29</v>
      </c>
      <c r="E33" s="294" t="s">
        <v>30</v>
      </c>
    </row>
    <row r="34" spans="2:5" ht="204.75" x14ac:dyDescent="0.25">
      <c r="B34" s="119" t="s">
        <v>31</v>
      </c>
      <c r="C34" s="119" t="s">
        <v>32</v>
      </c>
      <c r="D34" s="120" t="s">
        <v>33</v>
      </c>
      <c r="E34" s="294" t="s">
        <v>34</v>
      </c>
    </row>
    <row r="35" spans="2:5" ht="78.75" x14ac:dyDescent="0.25">
      <c r="B35" s="119" t="s">
        <v>35</v>
      </c>
      <c r="C35" s="119" t="s">
        <v>36</v>
      </c>
      <c r="D35" s="120" t="s">
        <v>37</v>
      </c>
      <c r="E35" s="294" t="s">
        <v>23</v>
      </c>
    </row>
    <row r="36" spans="2:5" ht="63" x14ac:dyDescent="0.25">
      <c r="B36" s="121" t="s">
        <v>38</v>
      </c>
      <c r="C36" s="119" t="s">
        <v>39</v>
      </c>
      <c r="D36" s="120" t="s">
        <v>40</v>
      </c>
      <c r="E36" s="294" t="s">
        <v>30</v>
      </c>
    </row>
    <row r="37" spans="2:5" ht="327" customHeight="1" x14ac:dyDescent="0.25">
      <c r="B37" s="119" t="s">
        <v>41</v>
      </c>
      <c r="C37" s="119" t="s">
        <v>42</v>
      </c>
      <c r="D37" s="120" t="s">
        <v>43</v>
      </c>
      <c r="E37" s="294" t="s">
        <v>34</v>
      </c>
    </row>
    <row r="38" spans="2:5" ht="78.75" x14ac:dyDescent="0.25">
      <c r="B38" s="119" t="s">
        <v>44</v>
      </c>
      <c r="C38" s="119" t="s">
        <v>45</v>
      </c>
      <c r="D38" s="120" t="s">
        <v>722</v>
      </c>
      <c r="E38" s="294" t="s">
        <v>23</v>
      </c>
    </row>
    <row r="39" spans="2:5" ht="63" x14ac:dyDescent="0.25">
      <c r="B39" s="121" t="s">
        <v>46</v>
      </c>
      <c r="C39" s="119" t="s">
        <v>47</v>
      </c>
      <c r="D39" s="120" t="s">
        <v>48</v>
      </c>
      <c r="E39" s="294" t="s">
        <v>30</v>
      </c>
    </row>
    <row r="40" spans="2:5" ht="254.1" customHeight="1" x14ac:dyDescent="0.25">
      <c r="B40" s="119" t="s">
        <v>49</v>
      </c>
      <c r="C40" s="119" t="s">
        <v>50</v>
      </c>
      <c r="D40" s="120" t="s">
        <v>51</v>
      </c>
      <c r="E40" s="294" t="s">
        <v>34</v>
      </c>
    </row>
    <row r="41" spans="2:5" x14ac:dyDescent="0.25">
      <c r="B41" s="118"/>
      <c r="C41" s="118"/>
      <c r="D41" s="118"/>
      <c r="E41" s="295"/>
    </row>
    <row r="42" spans="2:5" x14ac:dyDescent="0.25">
      <c r="B42" s="118"/>
      <c r="C42" s="118"/>
      <c r="D42" s="118"/>
      <c r="E42" s="295"/>
    </row>
    <row r="43" spans="2:5" x14ac:dyDescent="0.25">
      <c r="B43" s="118"/>
      <c r="C43" s="118"/>
      <c r="D43" s="118"/>
      <c r="E43" s="295"/>
    </row>
  </sheetData>
  <sheetProtection algorithmName="SHA-512" hashValue="gYP3v31zi4HfpRtqGFDLzsBsR4wa/d0BpD1+sZmsoXOBlWmPcIP2K1GnrfSYyzQ7f73MM+DqAqWIGIjJAeFX6w==" saltValue="t4j5XoDqVXLef22K1d+3BQ==" spinCount="100000" autoFilter="0" pivotTables="0"/>
  <mergeCells count="2">
    <mergeCell ref="B20:E20"/>
    <mergeCell ref="B23:E23"/>
  </mergeCells>
  <hyperlinks>
    <hyperlink ref="D27" location="'Modelo de Madurez'!A1" display="Modelo de Madurez" xr:uid="{B8018DC7-CFE0-E341-8B7D-1408C78CC253}"/>
    <hyperlink ref="D32" location="'1.MAE'!A1" display="1.MAE" xr:uid="{1647A639-3CFD-C943-96FA-FEFDC568CD21}"/>
    <hyperlink ref="D33" location="'1.1.Atributos MAE'!A1" display="1.1.Atributos MAE" xr:uid="{5F323E06-3248-3344-9315-FAE685AC1F17}"/>
    <hyperlink ref="D34" location="'1.2.Evaluación MAE'!A1" display="1.2.Evaluación MAE" xr:uid="{F572837A-8356-BA49-922C-E0576C209F48}"/>
    <hyperlink ref="D35" location="'2.MGGTI'!A1" display="2.MGGTI" xr:uid="{E0A9CDDD-9FBB-C045-98EB-770A8131694F}"/>
    <hyperlink ref="D38" location="'3.MGPTI'!A1" display="4.MGPTI" xr:uid="{50484F49-B9F3-7F4B-BF8F-1EABABFDA307}"/>
    <hyperlink ref="D31" location="'0.MRAE'!A1" display="0.MRAE" xr:uid="{FD27C101-C0E0-2C46-90E8-F49F82A1424E}"/>
    <hyperlink ref="D36" location="'2.1.Atributos MGGTI'!A1" display="2.1.Atributos MGGTI" xr:uid="{199DFBF8-15C0-1544-AF0D-7070B2EFFDB9}"/>
    <hyperlink ref="D37" location="'2.2.Evaluación MGGTI'!A1" display="2.2.Evaluación MGGTI" xr:uid="{7466B59F-1880-D149-B6CB-9FF5E34D99E2}"/>
    <hyperlink ref="D39" location="'3.1.Atributos MGPTI'!A1" display="4.1.Atributos MGPTI" xr:uid="{160077F6-F198-A244-A4A2-2319CEA1E484}"/>
    <hyperlink ref="D40" location="'3.2.Evaluación MGPTI'!A1" display="4.2.Evaluación MGPTI" xr:uid="{C77D382E-537C-884A-93B5-E378BFBFA4D2}"/>
    <hyperlink ref="D28" location="'Instrucciones MAE'!A1" display="Instrucciones MAE" xr:uid="{BA8C08D0-667E-2145-AD53-B7B0194AFA0D}"/>
    <hyperlink ref="D29" location="'Instrucciones MGGTI'!A1" display="Instrucciones MGGTI" xr:uid="{38EBF098-AC87-E44D-84E7-610F9C72806B}"/>
    <hyperlink ref="D30" location="'Instrucciones MGPTI'!A1" display="Instrucciones MGPTI" xr:uid="{E9528654-2B0E-5E45-B4FA-15D22782C014}"/>
  </hyperlinks>
  <pageMargins left="0.7" right="0.7" top="0.75" bottom="0.75" header="0.3" footer="0.3"/>
  <pageSetup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15719-3C7B-C048-8D66-6F707ECFDE15}">
  <sheetPr codeName="Hoja7"/>
  <dimension ref="A1:K98"/>
  <sheetViews>
    <sheetView showGridLines="0" topLeftCell="A4" zoomScaleNormal="100" workbookViewId="0"/>
  </sheetViews>
  <sheetFormatPr baseColWidth="10" defaultColWidth="11" defaultRowHeight="15.75" x14ac:dyDescent="0.25"/>
  <cols>
    <col min="1" max="1" width="27.125" customWidth="1"/>
    <col min="2" max="2" width="7.125" customWidth="1"/>
    <col min="3" max="3" width="37" customWidth="1"/>
    <col min="4" max="4" width="38.125" customWidth="1"/>
    <col min="5" max="5" width="23.5" customWidth="1"/>
    <col min="6" max="6" width="20.5" bestFit="1" customWidth="1"/>
    <col min="7" max="7" width="25.375" customWidth="1"/>
    <col min="8" max="8" width="22.375" bestFit="1" customWidth="1"/>
    <col min="9" max="9" width="15.875" bestFit="1" customWidth="1"/>
    <col min="10" max="10" width="20.625" customWidth="1"/>
  </cols>
  <sheetData>
    <row r="1" spans="1:10" x14ac:dyDescent="0.25">
      <c r="A1" s="273" t="s">
        <v>52</v>
      </c>
    </row>
    <row r="2" spans="1:10" x14ac:dyDescent="0.25">
      <c r="B2" s="369" t="s">
        <v>35</v>
      </c>
      <c r="C2" s="369"/>
      <c r="D2" s="369"/>
      <c r="E2" s="369"/>
      <c r="F2" s="369"/>
      <c r="G2" s="369"/>
      <c r="H2" s="369"/>
    </row>
    <row r="3" spans="1:10" x14ac:dyDescent="0.25">
      <c r="B3" s="369"/>
      <c r="C3" s="369"/>
      <c r="D3" s="369"/>
      <c r="E3" s="369"/>
      <c r="F3" s="369"/>
      <c r="G3" s="369"/>
      <c r="H3" s="369"/>
    </row>
    <row r="4" spans="1:10" x14ac:dyDescent="0.25">
      <c r="B4" s="369"/>
      <c r="C4" s="369"/>
      <c r="D4" s="369"/>
      <c r="E4" s="369"/>
      <c r="F4" s="369"/>
      <c r="G4" s="369"/>
      <c r="H4" s="369"/>
    </row>
    <row r="5" spans="1:10" x14ac:dyDescent="0.25">
      <c r="B5" s="369"/>
      <c r="C5" s="369"/>
      <c r="D5" s="369"/>
      <c r="E5" s="369"/>
      <c r="F5" s="369"/>
      <c r="G5" s="369"/>
      <c r="H5" s="369"/>
    </row>
    <row r="6" spans="1:10" x14ac:dyDescent="0.25">
      <c r="B6" s="369"/>
      <c r="C6" s="369"/>
      <c r="D6" s="369"/>
      <c r="E6" s="369"/>
      <c r="F6" s="369"/>
      <c r="G6" s="369"/>
      <c r="H6" s="369"/>
    </row>
    <row r="10" spans="1:10" ht="0.95" customHeight="1" x14ac:dyDescent="0.25"/>
    <row r="11" spans="1:10" hidden="1" x14ac:dyDescent="0.25"/>
    <row r="12" spans="1:10" hidden="1" x14ac:dyDescent="0.25"/>
    <row r="13" spans="1:10" hidden="1" x14ac:dyDescent="0.25"/>
    <row r="14" spans="1:10" ht="409.5" customHeight="1" x14ac:dyDescent="0.25">
      <c r="C14" s="365"/>
      <c r="D14" s="365"/>
      <c r="E14" s="365"/>
      <c r="F14" s="365"/>
      <c r="G14" s="365"/>
      <c r="H14" s="365"/>
      <c r="I14" s="365"/>
      <c r="J14" s="9"/>
    </row>
    <row r="16" spans="1:10" ht="16.5" thickBot="1" x14ac:dyDescent="0.3">
      <c r="D16" s="2"/>
      <c r="E16" s="2"/>
      <c r="F16" s="2"/>
      <c r="G16" s="2"/>
      <c r="H16" s="2"/>
    </row>
    <row r="17" spans="1:10" ht="16.5" thickBot="1" x14ac:dyDescent="0.3">
      <c r="C17" s="370" t="s">
        <v>294</v>
      </c>
      <c r="D17" s="79">
        <v>1</v>
      </c>
      <c r="E17" s="79">
        <v>2</v>
      </c>
      <c r="F17" s="80">
        <v>3</v>
      </c>
      <c r="G17" s="81">
        <v>4</v>
      </c>
      <c r="H17" s="82">
        <v>5</v>
      </c>
      <c r="I17" s="74" t="s">
        <v>192</v>
      </c>
    </row>
    <row r="18" spans="1:10" ht="16.5" thickBot="1" x14ac:dyDescent="0.3">
      <c r="C18" s="371"/>
      <c r="D18" s="19" t="s">
        <v>295</v>
      </c>
      <c r="E18" s="20" t="s">
        <v>296</v>
      </c>
      <c r="F18" s="20" t="s">
        <v>297</v>
      </c>
      <c r="G18" s="20" t="s">
        <v>298</v>
      </c>
      <c r="H18" s="20" t="s">
        <v>299</v>
      </c>
      <c r="I18" s="75">
        <f>AVERAGE(I19:I24)</f>
        <v>5</v>
      </c>
      <c r="J18" s="7"/>
    </row>
    <row r="19" spans="1:10" ht="15.95" customHeight="1" x14ac:dyDescent="0.25">
      <c r="C19" s="57" t="s">
        <v>95</v>
      </c>
      <c r="D19" s="123" t="str">
        <f>IF(AND(PR_MGGTI_ESTRATEGIA&gt;0,PR_MGGTI_ESTRATEGIA&lt;=1),PR_MGGTI_ESTRATEGIA,"")</f>
        <v/>
      </c>
      <c r="E19" s="123" t="str">
        <f>IF(AND(PR_MGGTI_ESTRATEGIA&gt;1,PR_MGGTI_ESTRATEGIA&lt;=2),PR_MGGTI_ESTRATEGIA,"")</f>
        <v/>
      </c>
      <c r="F19" s="123" t="str">
        <f>IF(AND(PR_MGGTI_ESTRATEGIA&gt;2,PR_MGGTI_ESTRATEGIA&lt;=3),PR_MGGTI_ESTRATEGIA,"")</f>
        <v/>
      </c>
      <c r="G19" s="123" t="str">
        <f>IF(AND(PR_MGGTI_ESTRATEGIA&gt;3,PR_MGGTI_ESTRATEGIA&lt;=4),PR_MGGTI_ESTRATEGIA,"")</f>
        <v/>
      </c>
      <c r="H19" s="124">
        <f>IF(AND(PR_MGGTI_ESTRATEGIA&gt;4,PR_MGGTI_ESTRATEGIA&lt;=5),PR_MGGTI_ESTRATEGIA,"")</f>
        <v>5</v>
      </c>
      <c r="I19" s="12">
        <f t="shared" ref="I19:I24" si="0">SUM(D19:H19)</f>
        <v>5</v>
      </c>
    </row>
    <row r="20" spans="1:10" x14ac:dyDescent="0.25">
      <c r="C20" s="26" t="s">
        <v>107</v>
      </c>
      <c r="D20" s="16" t="str" cm="1">
        <f t="array" ref="D20">IF(AND(PR_MGGTI_GOBIERNO&gt;0,PR_MGGTI_GOBIERNO&lt;=1),PR_MGGTI_GOBIERNO,"")</f>
        <v/>
      </c>
      <c r="E20" s="16" t="str" cm="1">
        <f t="array" ref="E20">IF(AND(PR_MGGTI_GOBIERNO&gt;0,PR_MGGTI_GOBIERNO&lt;=2),PR_MGGTI_GOBIERNO,"")</f>
        <v/>
      </c>
      <c r="F20" s="16" t="str" cm="1">
        <f t="array" ref="F20">IF(AND(PR_MGGTI_GOBIERNO&gt;2,PR_MGGTI_GOBIERNO&lt;=3),PR_MGGTI_GOBIERNO,"")</f>
        <v/>
      </c>
      <c r="G20" s="16" t="str" cm="1">
        <f t="array" ref="G20">IF(AND(PR_MGGTI_GOBIERNO&gt;3,PR_MGGTI_GOBIERNO&lt;=4),PR_MGGTI_GOBIERNO,"")</f>
        <v/>
      </c>
      <c r="H20" s="48" cm="1">
        <f t="array" ref="H20">IF(AND(PR_MGGTI_GOBIERNO&gt;4,PR_MGGTI_GOBIERNO&lt;=5),PR_MGGTI_GOBIERNO,"")</f>
        <v>5</v>
      </c>
      <c r="I20" s="12">
        <f t="shared" si="0"/>
        <v>5</v>
      </c>
    </row>
    <row r="21" spans="1:10" x14ac:dyDescent="0.25">
      <c r="C21" s="26" t="s">
        <v>300</v>
      </c>
      <c r="D21" s="16" t="str" cm="1">
        <f t="array" ref="D21">IF(AND(PR_MGGTI_INFORMACION&gt;0,PR_MGGTI_INFORMACION&lt;=1),PR_MGGTI_INFORMACION,"")</f>
        <v/>
      </c>
      <c r="E21" s="16" t="str" cm="1">
        <f t="array" ref="E21">IF(AND(PR_MGGTI_INFORMACION&gt;2,PR_MGGTI_INFORMACION&lt;=2),PR_MGGTI_INFORMACION,"")</f>
        <v/>
      </c>
      <c r="F21" s="16" t="str" cm="1">
        <f t="array" ref="F21">IF(AND(PR_MGGTI_INFORMACION&gt;2,PR_MGGTI_INFORMACION&lt;=3),PR_MGGTI_INFORMACION,"")</f>
        <v/>
      </c>
      <c r="G21" s="16" t="str" cm="1">
        <f t="array" ref="G21">IF(AND(PR_MGGTI_INFORMACION&gt;3,PR_MGGTI_INFORMACION&lt;=4),PR_MGGTI_INFORMACION,"")</f>
        <v/>
      </c>
      <c r="H21" s="48" cm="1">
        <f t="array" ref="H21">IF(AND(PR_MGGTI_INFORMACION&gt;4,PR_MGGTI_INFORMACION&lt;=5),PR_MGGTI_INFORMACION,"")</f>
        <v>5</v>
      </c>
      <c r="I21" s="12">
        <f t="shared" si="0"/>
        <v>5</v>
      </c>
    </row>
    <row r="22" spans="1:10" x14ac:dyDescent="0.25">
      <c r="C22" s="26" t="s">
        <v>301</v>
      </c>
      <c r="D22" s="16" t="str" cm="1">
        <f t="array" ref="D22">IF(AND(PR_MGGTI_SISTEMAS&gt;0,PR_MGGTI_SISTEMAS&lt;=1),PR_MGGTI_SISTEMAS,"")</f>
        <v/>
      </c>
      <c r="E22" s="16" t="str" cm="1">
        <f t="array" ref="E22">IF(AND(PR_MGGTI_SISTEMAS&gt;1,PR_MGGTI_SISTEMAS&lt;=2),PR_MGGTI_SISTEMAS,"")</f>
        <v/>
      </c>
      <c r="F22" s="16" t="str" cm="1">
        <f t="array" ref="F22">IF(AND(PR_MGGTI_SISTEMAS&gt;2,PR_MGGTI_SISTEMAS&lt;=3),PR_MGGTI_SISTEMAS,"")</f>
        <v/>
      </c>
      <c r="G22" s="16" t="str" cm="1">
        <f t="array" ref="G22">IF(AND(PR_MGGTI_SISTEMAS&gt;3,PR_MGGTI_SISTEMAS&lt;=4),PR_MGGTI_SISTEMAS,"")</f>
        <v/>
      </c>
      <c r="H22" s="48" cm="1">
        <f t="array" ref="H22">IF(AND(PR_MGGTI_SISTEMAS&gt;4,PR_MGGTI_SISTEMAS&lt;=5),PR_MGGTI_SISTEMAS,"")</f>
        <v>5</v>
      </c>
      <c r="I22" s="12">
        <f t="shared" si="0"/>
        <v>5</v>
      </c>
    </row>
    <row r="23" spans="1:10" x14ac:dyDescent="0.25">
      <c r="C23" s="26" t="s">
        <v>302</v>
      </c>
      <c r="D23" s="16" t="str" cm="1">
        <f t="array" ref="D23">IF(AND(PR_MGGTI_TECNOLOGIA&gt;0,PR_MGGTI_TECNOLOGIA&lt;=1),PR_MGGTI_TECNOLOGIA,"")</f>
        <v/>
      </c>
      <c r="E23" s="16" t="str" cm="1">
        <f t="array" ref="E23">IF(AND(PR_MGGTI_TECNOLOGIA&gt;1,PR_MGGTI_TECNOLOGIA&lt;=2),PR_MGGTI_TECNOLOGIA,"")</f>
        <v/>
      </c>
      <c r="F23" s="16" t="str" cm="1">
        <f t="array" ref="F23">IF(AND(PR_MGGTI_TECNOLOGIA&gt;2,PR_MGGTI_TECNOLOGIA&lt;=3),PR_MGGTI_TECNOLOGIA,"")</f>
        <v/>
      </c>
      <c r="G23" s="16" t="str" cm="1">
        <f t="array" ref="G23">IF(AND(PR_MGGTI_TECNOLOGIA&gt;3,PR_MGGTI_TECNOLOGIA&lt;=4),PR_MGGTI_TECNOLOGIA,"")</f>
        <v/>
      </c>
      <c r="H23" s="48" cm="1">
        <f t="array" ref="H23">IF(AND(PR_MGGTI_TECNOLOGIA&gt;4,PR_MGGTI_TECNOLOGIA&lt;=5),PR_MGGTI_TECNOLOGIA,"")</f>
        <v>5</v>
      </c>
      <c r="I23" s="12">
        <f t="shared" si="0"/>
        <v>5</v>
      </c>
    </row>
    <row r="24" spans="1:10" ht="16.5" thickBot="1" x14ac:dyDescent="0.3">
      <c r="C24" s="58" t="s">
        <v>303</v>
      </c>
      <c r="D24" s="43" t="str" cm="1">
        <f t="array" ref="D24">IF(AND(PR_MGGTI_UYATI&gt;0,PR_MGGTI_UYATI&lt;=1),PR_MGGTI_UYATI,"")</f>
        <v/>
      </c>
      <c r="E24" s="43" t="str" cm="1">
        <f t="array" ref="E24">IF(AND(PR_MGGTI_UYATI&gt;1,PR_MGGTI_UYATI&lt;=2),PR_MGGTI_UYATI,"")</f>
        <v/>
      </c>
      <c r="F24" s="43" t="str" cm="1">
        <f t="array" ref="F24">IF(AND(PR_MGGTI_UYATI&gt;2,PR_MGGTI_UYATI&lt;=3),PR_MGGTI_UYATI,"")</f>
        <v/>
      </c>
      <c r="G24" s="43" t="str" cm="1">
        <f t="array" ref="G24">IF(AND(PR_MGGTI_UYATI&gt;3,PR_MGGTI_UYATI&lt;=4),PR_MGGTI_UYATI,"")</f>
        <v/>
      </c>
      <c r="H24" s="49" cm="1">
        <f t="array" ref="H24">IF(AND(PR_MGGTI_UYATI&gt;4,PR_MGGTI_UYATI&lt;=5),PR_MGGTI_UYATI,"")</f>
        <v>5</v>
      </c>
      <c r="I24" s="12">
        <f t="shared" si="0"/>
        <v>5</v>
      </c>
    </row>
    <row r="25" spans="1:10" x14ac:dyDescent="0.25">
      <c r="G25" s="1"/>
    </row>
    <row r="26" spans="1:10" x14ac:dyDescent="0.25">
      <c r="G26" s="1"/>
    </row>
    <row r="27" spans="1:10" x14ac:dyDescent="0.25">
      <c r="G27" s="1"/>
    </row>
    <row r="28" spans="1:10" ht="378.95" customHeight="1" x14ac:dyDescent="0.25">
      <c r="C28" s="365"/>
      <c r="D28" s="365"/>
      <c r="E28" s="365"/>
      <c r="F28" s="365"/>
      <c r="G28" s="365"/>
      <c r="H28" s="365"/>
      <c r="I28" s="365"/>
    </row>
    <row r="30" spans="1:10" ht="16.5" thickBot="1" x14ac:dyDescent="0.3"/>
    <row r="31" spans="1:10" ht="16.5" thickBot="1" x14ac:dyDescent="0.3">
      <c r="C31" s="370" t="s">
        <v>95</v>
      </c>
      <c r="D31" s="79">
        <v>1</v>
      </c>
      <c r="E31" s="79">
        <v>2</v>
      </c>
      <c r="F31" s="80">
        <v>3</v>
      </c>
      <c r="G31" s="81">
        <v>4</v>
      </c>
      <c r="H31" s="82">
        <v>5</v>
      </c>
      <c r="I31" s="74" t="s">
        <v>192</v>
      </c>
    </row>
    <row r="32" spans="1:10" ht="16.5" thickBot="1" x14ac:dyDescent="0.3">
      <c r="A32" s="138"/>
      <c r="C32" s="371"/>
      <c r="D32" s="19" t="s">
        <v>193</v>
      </c>
      <c r="E32" s="20" t="s">
        <v>194</v>
      </c>
      <c r="F32" s="20" t="s">
        <v>195</v>
      </c>
      <c r="G32" s="20" t="s">
        <v>196</v>
      </c>
      <c r="H32" s="20" t="s">
        <v>197</v>
      </c>
      <c r="I32" s="75">
        <f>AVERAGE(I33:I37)</f>
        <v>5</v>
      </c>
    </row>
    <row r="33" spans="1:11" ht="16.5" thickBot="1" x14ac:dyDescent="0.3">
      <c r="A33" s="138"/>
      <c r="C33" s="57" t="s">
        <v>96</v>
      </c>
      <c r="D33" s="13">
        <v>1</v>
      </c>
      <c r="E33" s="13">
        <f>IFERROR(AVERAGEIFS('2.1.Atributos MGGTI'!$H$6:$H$204,'2.1.Atributos MGGTI'!$E$6:$E$204,E$31),"")</f>
        <v>1</v>
      </c>
      <c r="F33" s="13">
        <f>IFERROR(AVERAGEIFS('2.1.Atributos MGGTI'!$H$6:$H$204,'2.1.Atributos MGGTI'!$E$6:$E$204,F$31),"")</f>
        <v>1</v>
      </c>
      <c r="G33" s="13">
        <f>IFERROR(AVERAGEIFS('2.1.Atributos MGGTI'!$H$6:$H$204,'2.1.Atributos MGGTI'!$E$6:$E$204,G$31),"")</f>
        <v>1</v>
      </c>
      <c r="H33" s="13">
        <f>IFERROR(AVERAGEIFS('2.1.Atributos MGGTI'!$H$6:$H$204,'2.1.Atributos MGGTI'!$E$6:$E$204,H$31),"")</f>
        <v>1</v>
      </c>
      <c r="I33" s="13">
        <f>AVERAGE(D33:H33)*5</f>
        <v>5</v>
      </c>
      <c r="J33" s="59"/>
      <c r="K33" s="126"/>
    </row>
    <row r="34" spans="1:11" ht="32.25" thickBot="1" x14ac:dyDescent="0.3">
      <c r="A34" s="138"/>
      <c r="C34" s="57" t="s">
        <v>97</v>
      </c>
      <c r="D34" s="13">
        <v>1</v>
      </c>
      <c r="E34" s="13">
        <f>IFERROR(AVERAGEIFS('2.1.Atributos MGGTI'!$I$6:$I$204,'2.1.Atributos MGGTI'!$E$6:$E$204,E$31),"")</f>
        <v>1</v>
      </c>
      <c r="F34" s="13">
        <f>IFERROR(AVERAGEIFS('2.1.Atributos MGGTI'!$I$6:$I$204,'2.1.Atributos MGGTI'!$E$6:$E$204,F$31),"")</f>
        <v>1</v>
      </c>
      <c r="G34" s="13">
        <f>IFERROR(AVERAGEIFS('2.1.Atributos MGGTI'!$I$6:$I$204,'2.1.Atributos MGGTI'!$E$6:$E$204,G$31),"")</f>
        <v>1</v>
      </c>
      <c r="H34" s="13">
        <f>IFERROR(AVERAGEIFS('2.1.Atributos MGGTI'!$I$6:$I$204,'2.1.Atributos MGGTI'!$E$6:$E$204,H$31),"")</f>
        <v>1</v>
      </c>
      <c r="I34" s="13">
        <f>AVERAGE(D34:H34)*5</f>
        <v>5</v>
      </c>
    </row>
    <row r="35" spans="1:11" ht="16.5" thickBot="1" x14ac:dyDescent="0.3">
      <c r="A35" s="138"/>
      <c r="C35" s="57" t="s">
        <v>98</v>
      </c>
      <c r="D35" s="13">
        <v>1</v>
      </c>
      <c r="E35" s="13">
        <f>IFERROR(AVERAGEIFS('2.1.Atributos MGGTI'!$J$6:$J$204,'2.1.Atributos MGGTI'!$E$6:$E$204,E$31),"")</f>
        <v>1</v>
      </c>
      <c r="F35" s="13">
        <f>IFERROR(AVERAGEIFS('2.1.Atributos MGGTI'!$J$6:$J$204,'2.1.Atributos MGGTI'!$E$6:$E$204,F$31),"")</f>
        <v>1</v>
      </c>
      <c r="G35" s="13">
        <f>IFERROR(AVERAGEIFS('2.1.Atributos MGGTI'!$J$6:$J$204,'2.1.Atributos MGGTI'!$E$6:$E$204,G$31),"")</f>
        <v>1</v>
      </c>
      <c r="H35" s="13">
        <f>IFERROR(AVERAGEIFS('2.1.Atributos MGGTI'!$J$6:$J$204,'2.1.Atributos MGGTI'!$E$6:$E$204,H$31),"")</f>
        <v>1</v>
      </c>
      <c r="I35" s="13">
        <f>AVERAGE(D35:H35)*5</f>
        <v>5</v>
      </c>
    </row>
    <row r="36" spans="1:11" ht="16.5" thickBot="1" x14ac:dyDescent="0.3">
      <c r="A36" s="138"/>
      <c r="C36" s="57" t="s">
        <v>99</v>
      </c>
      <c r="D36" s="13">
        <v>1</v>
      </c>
      <c r="E36" s="13">
        <f>IFERROR(AVERAGEIFS('2.1.Atributos MGGTI'!$K$6:$K$204,'2.1.Atributos MGGTI'!$E$6:$E$204,E$31),"")</f>
        <v>1</v>
      </c>
      <c r="F36" s="13">
        <f>IFERROR(AVERAGEIFS('2.1.Atributos MGGTI'!$K$6:$K$204,'2.1.Atributos MGGTI'!$E$6:$E$204,F$31),"")</f>
        <v>1</v>
      </c>
      <c r="G36" s="13">
        <f>IFERROR(AVERAGEIFS('2.1.Atributos MGGTI'!$K$6:$K$204,'2.1.Atributos MGGTI'!$E$6:$E$204,G$31),"")</f>
        <v>1</v>
      </c>
      <c r="H36" s="139" t="str">
        <f>IFERROR(AVERAGEIFS('2.1.Atributos MGGTI'!$K$6:$K$204,'2.1.Atributos MGGTI'!$E$6:$E$204,H$31),"")</f>
        <v/>
      </c>
      <c r="I36" s="13">
        <f>AVERAGE(D36:H36)*5</f>
        <v>5</v>
      </c>
    </row>
    <row r="37" spans="1:11" x14ac:dyDescent="0.25">
      <c r="C37" s="57" t="s">
        <v>100</v>
      </c>
      <c r="D37" s="13">
        <v>1</v>
      </c>
      <c r="E37" s="13">
        <f>IFERROR(AVERAGEIFS('2.1.Atributos MGGTI'!$L$6:$L$204,'2.1.Atributos MGGTI'!$E$6:$E$204,E$31),"")</f>
        <v>1</v>
      </c>
      <c r="F37" s="13">
        <f>IFERROR(AVERAGEIFS('2.1.Atributos MGGTI'!$L$6:$L$204,'2.1.Atributos MGGTI'!$E$6:$E$204,F$31),"")</f>
        <v>1</v>
      </c>
      <c r="G37" s="13">
        <f>IFERROR(AVERAGEIFS('2.1.Atributos MGGTI'!$L$6:$L$204,'2.1.Atributos MGGTI'!$E$6:$E$204,G$31),"")</f>
        <v>1</v>
      </c>
      <c r="H37" s="13">
        <f>IFERROR(AVERAGEIFS('2.1.Atributos MGGTI'!$L$6:$L$204,'2.1.Atributos MGGTI'!$E$6:$E$204,H$31),"")</f>
        <v>1</v>
      </c>
      <c r="I37" s="13">
        <f>AVERAGE(D37:H37)*5</f>
        <v>5</v>
      </c>
    </row>
    <row r="40" spans="1:11" ht="399.95" customHeight="1" x14ac:dyDescent="0.25">
      <c r="C40" s="365"/>
      <c r="D40" s="365"/>
      <c r="E40" s="365"/>
      <c r="F40" s="365"/>
      <c r="G40" s="365"/>
      <c r="H40" s="365"/>
      <c r="I40" s="365"/>
    </row>
    <row r="41" spans="1:11" x14ac:dyDescent="0.25">
      <c r="G41" s="1"/>
      <c r="H41" s="5"/>
    </row>
    <row r="43" spans="1:11" ht="16.5" thickBot="1" x14ac:dyDescent="0.3"/>
    <row r="44" spans="1:11" ht="16.5" thickBot="1" x14ac:dyDescent="0.3">
      <c r="C44" s="370" t="s">
        <v>304</v>
      </c>
      <c r="D44" s="79">
        <v>1</v>
      </c>
      <c r="E44" s="79">
        <v>2</v>
      </c>
      <c r="F44" s="80">
        <v>3</v>
      </c>
      <c r="G44" s="81">
        <v>4</v>
      </c>
      <c r="H44" s="82">
        <v>5</v>
      </c>
      <c r="I44" s="74" t="s">
        <v>192</v>
      </c>
    </row>
    <row r="45" spans="1:11" ht="16.5" thickBot="1" x14ac:dyDescent="0.3">
      <c r="C45" s="371"/>
      <c r="D45" s="19" t="s">
        <v>193</v>
      </c>
      <c r="E45" s="20" t="s">
        <v>194</v>
      </c>
      <c r="F45" s="20" t="s">
        <v>195</v>
      </c>
      <c r="G45" s="20" t="s">
        <v>196</v>
      </c>
      <c r="H45" s="20" t="s">
        <v>197</v>
      </c>
      <c r="I45" s="75">
        <f>AVERAGE(I46:I50)</f>
        <v>5</v>
      </c>
    </row>
    <row r="46" spans="1:11" ht="32.25" thickBot="1" x14ac:dyDescent="0.3">
      <c r="B46" s="4">
        <v>1</v>
      </c>
      <c r="C46" s="57" t="s">
        <v>108</v>
      </c>
      <c r="D46" s="13">
        <v>1</v>
      </c>
      <c r="E46" s="13">
        <f>IFERROR(AVERAGEIFS('2.1.Atributos MGGTI'!$M$6:$M$204,'2.1.Atributos MGGTI'!$E$6:$E$204,E$31),"")</f>
        <v>1</v>
      </c>
      <c r="F46" s="13">
        <f>IFERROR(AVERAGEIFS('2.1.Atributos MGGTI'!$M$6:$M$204,'2.1.Atributos MGGTI'!$E$6:$E$204,F$31),"")</f>
        <v>1</v>
      </c>
      <c r="G46" s="13">
        <f>IFERROR(AVERAGEIFS('2.1.Atributos MGGTI'!$M$6:$M$204,'2.1.Atributos MGGTI'!$E$6:$E$204,G$31),"")</f>
        <v>1</v>
      </c>
      <c r="H46" s="13">
        <f>IFERROR(AVERAGEIFS('2.1.Atributos MGGTI'!$M$6:$M$204,'2.1.Atributos MGGTI'!$E$6:$E$204,H$31),"")</f>
        <v>1</v>
      </c>
      <c r="I46" s="13">
        <f>AVERAGE(D46:H46)*5</f>
        <v>5</v>
      </c>
    </row>
    <row r="47" spans="1:11" ht="16.5" thickBot="1" x14ac:dyDescent="0.3">
      <c r="B47" s="4">
        <v>2</v>
      </c>
      <c r="C47" s="57" t="s">
        <v>109</v>
      </c>
      <c r="D47" s="13">
        <v>1</v>
      </c>
      <c r="E47" s="13">
        <f>IFERROR(AVERAGEIFS('2.1.Atributos MGGTI'!$N$6:$N$204,'2.1.Atributos MGGTI'!$E$6:$E$204,E$31),"")</f>
        <v>1</v>
      </c>
      <c r="F47" s="13">
        <f>IFERROR(AVERAGEIFS('2.1.Atributos MGGTI'!$N$6:$N$204,'2.1.Atributos MGGTI'!$E$6:$E$204,F$31),"")</f>
        <v>1</v>
      </c>
      <c r="G47" s="13">
        <f>IFERROR(AVERAGEIFS('2.1.Atributos MGGTI'!$N$6:$N$204,'2.1.Atributos MGGTI'!$E$6:$E$204,G$31),"")</f>
        <v>1</v>
      </c>
      <c r="H47" s="139" t="str">
        <f>IFERROR(AVERAGEIFS('2.1.Atributos MGGTI'!$N$6:$N$204,'2.1.Atributos MGGTI'!$E$6:$E$204,H$31),"")</f>
        <v/>
      </c>
      <c r="I47" s="13">
        <f>AVERAGE(D47:H47)*5</f>
        <v>5</v>
      </c>
    </row>
    <row r="48" spans="1:11" ht="16.5" thickBot="1" x14ac:dyDescent="0.3">
      <c r="B48" s="4">
        <v>3</v>
      </c>
      <c r="C48" s="57" t="s">
        <v>110</v>
      </c>
      <c r="D48" s="13">
        <v>1</v>
      </c>
      <c r="E48" s="13">
        <f>IFERROR(AVERAGEIFS('2.1.Atributos MGGTI'!$O$6:$O$204,'2.1.Atributos MGGTI'!$E$6:$E$204,E$31),"")</f>
        <v>1</v>
      </c>
      <c r="F48" s="13">
        <f>IFERROR(AVERAGEIFS('2.1.Atributos MGGTI'!$O$6:$O$204,'2.1.Atributos MGGTI'!$E$6:$E$204,F$31),"")</f>
        <v>1</v>
      </c>
      <c r="G48" s="13">
        <f>IFERROR(AVERAGEIFS('2.1.Atributos MGGTI'!$O$6:$O$204,'2.1.Atributos MGGTI'!$E$6:$E$204,G$31),"")</f>
        <v>1</v>
      </c>
      <c r="H48" s="13">
        <f>IFERROR(AVERAGEIFS('2.1.Atributos MGGTI'!$O$6:$O$204,'2.1.Atributos MGGTI'!$E$6:$E$204,H$31),"")</f>
        <v>1</v>
      </c>
      <c r="I48" s="13">
        <f>AVERAGE(D48:H48)*5</f>
        <v>5</v>
      </c>
    </row>
    <row r="49" spans="2:9" ht="16.5" thickBot="1" x14ac:dyDescent="0.3">
      <c r="B49" s="4">
        <v>4</v>
      </c>
      <c r="C49" s="57" t="s">
        <v>111</v>
      </c>
      <c r="D49" s="13">
        <v>1</v>
      </c>
      <c r="E49" s="13">
        <f>IFERROR(AVERAGEIFS('2.1.Atributos MGGTI'!$P$6:$P$204,'2.1.Atributos MGGTI'!$E$6:$E$204,E$31),"")</f>
        <v>1</v>
      </c>
      <c r="F49" s="13">
        <f>IFERROR(AVERAGEIFS('2.1.Atributos MGGTI'!$P$6:$P$204,'2.1.Atributos MGGTI'!$E$6:$E$204,F$31),"")</f>
        <v>1</v>
      </c>
      <c r="G49" s="13">
        <f>IFERROR(AVERAGEIFS('2.1.Atributos MGGTI'!$P$6:$P$204,'2.1.Atributos MGGTI'!$E$6:$E$204,G$31),"")</f>
        <v>1</v>
      </c>
      <c r="H49" s="139" t="str">
        <f>IFERROR(AVERAGEIFS('2.1.Atributos MGGTI'!$P$6:$P$204,'2.1.Atributos MGGTI'!$E$6:$E$204,H$31),"")</f>
        <v/>
      </c>
      <c r="I49" s="13">
        <f>AVERAGE(D49:H49)*5</f>
        <v>5</v>
      </c>
    </row>
    <row r="50" spans="2:9" x14ac:dyDescent="0.25">
      <c r="B50" s="4">
        <v>5</v>
      </c>
      <c r="C50" s="57" t="s">
        <v>112</v>
      </c>
      <c r="D50" s="13">
        <v>1</v>
      </c>
      <c r="E50" s="13">
        <f>IFERROR(AVERAGEIFS('2.1.Atributos MGGTI'!$Q$6:$Q$204,'2.1.Atributos MGGTI'!$E$6:$E$204,E$31),0)</f>
        <v>1</v>
      </c>
      <c r="F50" s="13">
        <f>IFERROR(AVERAGEIFS('2.1.Atributos MGGTI'!$Q$6:$Q$204,'2.1.Atributos MGGTI'!$E$6:$E$204,F$31),0)</f>
        <v>1</v>
      </c>
      <c r="G50" s="13">
        <f>IFERROR(AVERAGEIFS('2.1.Atributos MGGTI'!$Q$6:$Q$204,'2.1.Atributos MGGTI'!$E$6:$E$204,G$31),0)</f>
        <v>1</v>
      </c>
      <c r="H50" s="13">
        <f>IFERROR(AVERAGEIFS('2.1.Atributos MGGTI'!$Q$6:$Q$204,'2.1.Atributos MGGTI'!$E$6:$E$204,H$31),0)</f>
        <v>1</v>
      </c>
      <c r="I50" s="13">
        <f>AVERAGE(D50:H50)*5</f>
        <v>5</v>
      </c>
    </row>
    <row r="51" spans="2:9" x14ac:dyDescent="0.25">
      <c r="H51" s="1"/>
      <c r="I51" s="6"/>
    </row>
    <row r="52" spans="2:9" x14ac:dyDescent="0.25">
      <c r="H52" s="1"/>
      <c r="I52" s="5"/>
    </row>
    <row r="53" spans="2:9" ht="387.95" customHeight="1" x14ac:dyDescent="0.25">
      <c r="C53" s="365"/>
      <c r="D53" s="365"/>
      <c r="E53" s="365"/>
      <c r="F53" s="365"/>
      <c r="G53" s="365"/>
      <c r="H53" s="365"/>
      <c r="I53" s="365"/>
    </row>
    <row r="56" spans="2:9" ht="16.5" thickBot="1" x14ac:dyDescent="0.3"/>
    <row r="57" spans="2:9" ht="16.5" thickBot="1" x14ac:dyDescent="0.3">
      <c r="C57" s="370" t="s">
        <v>305</v>
      </c>
      <c r="D57" s="79">
        <v>1</v>
      </c>
      <c r="E57" s="79">
        <v>2</v>
      </c>
      <c r="F57" s="80">
        <v>3</v>
      </c>
      <c r="G57" s="81">
        <v>4</v>
      </c>
      <c r="H57" s="82">
        <v>5</v>
      </c>
      <c r="I57" s="74" t="s">
        <v>192</v>
      </c>
    </row>
    <row r="58" spans="2:9" ht="16.5" thickBot="1" x14ac:dyDescent="0.3">
      <c r="C58" s="371"/>
      <c r="D58" s="19" t="s">
        <v>193</v>
      </c>
      <c r="E58" s="20" t="s">
        <v>194</v>
      </c>
      <c r="F58" s="20" t="s">
        <v>195</v>
      </c>
      <c r="G58" s="20" t="s">
        <v>196</v>
      </c>
      <c r="H58" s="20" t="s">
        <v>197</v>
      </c>
      <c r="I58" s="75">
        <f>AVERAGE(I59:I62)</f>
        <v>5</v>
      </c>
    </row>
    <row r="59" spans="2:9" ht="48" thickBot="1" x14ac:dyDescent="0.3">
      <c r="B59" s="4">
        <v>1</v>
      </c>
      <c r="C59" s="57" t="s">
        <v>306</v>
      </c>
      <c r="D59" s="13">
        <v>1</v>
      </c>
      <c r="E59" s="267" t="str">
        <f>IFERROR(AVERAGEIFS('2.1.Atributos MGGTI'!$R$6:$R$204,'2.1.Atributos MGGTI'!$E$6:$E$204,E$31),"")</f>
        <v/>
      </c>
      <c r="F59" s="13">
        <f>IFERROR(AVERAGEIFS('2.1.Atributos MGGTI'!$R$6:$R$204,'2.1.Atributos MGGTI'!$E$6:$E$204,F$31),"")</f>
        <v>1</v>
      </c>
      <c r="G59" s="13">
        <f>IFERROR(AVERAGEIFS('2.1.Atributos MGGTI'!$R$6:$R$204,'2.1.Atributos MGGTI'!$E$6:$E$204,G$31),"")</f>
        <v>1</v>
      </c>
      <c r="H59" s="13">
        <f>IFERROR(AVERAGEIFS('2.1.Atributos MGGTI'!$R$6:$R$204,'2.1.Atributos MGGTI'!$E$6:$E$204,H$31),"")</f>
        <v>1</v>
      </c>
      <c r="I59" s="13">
        <f>AVERAGE(D59:H59)*5</f>
        <v>5</v>
      </c>
    </row>
    <row r="60" spans="2:9" ht="16.5" thickBot="1" x14ac:dyDescent="0.3">
      <c r="B60" s="4">
        <v>2</v>
      </c>
      <c r="C60" s="57" t="s">
        <v>121</v>
      </c>
      <c r="D60" s="13">
        <v>1</v>
      </c>
      <c r="E60" s="267" t="str">
        <f>IFERROR(AVERAGEIFS('2.1.Atributos MGGTI'!$S$6:$S$204,'2.1.Atributos MGGTI'!$E$6:$E$204,E$31),"")</f>
        <v/>
      </c>
      <c r="F60" s="13">
        <f>IFERROR(AVERAGEIFS('2.1.Atributos MGGTI'!$S$6:$S$204,'2.1.Atributos MGGTI'!$E$6:$E$204,F$31),"")</f>
        <v>1</v>
      </c>
      <c r="G60" s="13">
        <f>IFERROR(AVERAGEIFS('2.1.Atributos MGGTI'!$S$6:$S$204,'2.1.Atributos MGGTI'!$E$6:$E$204,G$31),"")</f>
        <v>1</v>
      </c>
      <c r="H60" s="13">
        <f>IFERROR(AVERAGEIFS('2.1.Atributos MGGTI'!$S$6:$S$204,'2.1.Atributos MGGTI'!$E$6:$E$204,H$31),"")</f>
        <v>1</v>
      </c>
      <c r="I60" s="13">
        <f>AVERAGE(D60:H60)*5</f>
        <v>5</v>
      </c>
    </row>
    <row r="61" spans="2:9" ht="16.5" thickBot="1" x14ac:dyDescent="0.3">
      <c r="B61" s="4">
        <v>3</v>
      </c>
      <c r="C61" s="57" t="s">
        <v>122</v>
      </c>
      <c r="D61" s="13">
        <v>1</v>
      </c>
      <c r="E61" s="13">
        <f>IFERROR(AVERAGEIFS('2.1.Atributos MGGTI'!$T$6:$T$204,'2.1.Atributos MGGTI'!$E$6:$E$204,E$31),"")</f>
        <v>1</v>
      </c>
      <c r="F61" s="13">
        <f>IFERROR(AVERAGEIFS('2.1.Atributos MGGTI'!$T$6:$T$204,'2.1.Atributos MGGTI'!$E$6:$E$204,F$31),"")</f>
        <v>1</v>
      </c>
      <c r="G61" s="13">
        <f>IFERROR(AVERAGEIFS('2.1.Atributos MGGTI'!$T$6:$T$204,'2.1.Atributos MGGTI'!$E$6:$E$204,G$31),"")</f>
        <v>1</v>
      </c>
      <c r="H61" s="13">
        <f>IFERROR(AVERAGEIFS('2.1.Atributos MGGTI'!$T$6:$T$204,'2.1.Atributos MGGTI'!$E$6:$E$204,H$31),"")</f>
        <v>1</v>
      </c>
      <c r="I61" s="13">
        <f>AVERAGE(D61:H61)*5</f>
        <v>5</v>
      </c>
    </row>
    <row r="62" spans="2:9" x14ac:dyDescent="0.25">
      <c r="B62" s="4">
        <v>4</v>
      </c>
      <c r="C62" s="57" t="s">
        <v>123</v>
      </c>
      <c r="D62" s="13">
        <v>1</v>
      </c>
      <c r="E62" s="13">
        <f>IFERROR(AVERAGEIFS('2.1.Atributos MGGTI'!$U$6:$U$204,'2.1.Atributos MGGTI'!$E$6:$E$204,E$31),"")</f>
        <v>1</v>
      </c>
      <c r="F62" s="13">
        <f>IFERROR(AVERAGEIFS('2.1.Atributos MGGTI'!$U$6:$U$204,'2.1.Atributos MGGTI'!$E$6:$E$204,F$31),"")</f>
        <v>1</v>
      </c>
      <c r="G62" s="13">
        <f>IFERROR(AVERAGEIFS('2.1.Atributos MGGTI'!$U$6:$U$204,'2.1.Atributos MGGTI'!$E$6:$E$204,G$31),"")</f>
        <v>1</v>
      </c>
      <c r="H62" s="13">
        <f>IFERROR(AVERAGEIFS('2.1.Atributos MGGTI'!$U$6:$U$204,'2.1.Atributos MGGTI'!$E$6:$E$204,H$31),"")</f>
        <v>1</v>
      </c>
      <c r="I62" s="13">
        <f>AVERAGE(D62:H62)*5</f>
        <v>5</v>
      </c>
    </row>
    <row r="63" spans="2:9" x14ac:dyDescent="0.25">
      <c r="H63" s="1"/>
      <c r="I63" s="6"/>
    </row>
    <row r="66" spans="2:9" ht="409.5" customHeight="1" x14ac:dyDescent="0.25">
      <c r="C66" s="365"/>
      <c r="D66" s="365"/>
      <c r="E66" s="365"/>
      <c r="F66" s="365"/>
      <c r="G66" s="365"/>
      <c r="H66" s="365"/>
      <c r="I66" s="365"/>
    </row>
    <row r="68" spans="2:9" ht="16.5" thickBot="1" x14ac:dyDescent="0.3"/>
    <row r="69" spans="2:9" ht="16.5" thickBot="1" x14ac:dyDescent="0.3">
      <c r="C69" s="388" t="s">
        <v>307</v>
      </c>
      <c r="D69" s="79">
        <v>1</v>
      </c>
      <c r="E69" s="79">
        <v>2</v>
      </c>
      <c r="F69" s="80">
        <v>3</v>
      </c>
      <c r="G69" s="81">
        <v>4</v>
      </c>
      <c r="H69" s="82">
        <v>5</v>
      </c>
      <c r="I69" s="74" t="s">
        <v>192</v>
      </c>
    </row>
    <row r="70" spans="2:9" ht="16.5" thickBot="1" x14ac:dyDescent="0.3">
      <c r="C70" s="373"/>
      <c r="D70" s="19" t="s">
        <v>193</v>
      </c>
      <c r="E70" s="20" t="s">
        <v>194</v>
      </c>
      <c r="F70" s="20" t="s">
        <v>195</v>
      </c>
      <c r="G70" s="20" t="s">
        <v>196</v>
      </c>
      <c r="H70" s="20" t="s">
        <v>197</v>
      </c>
      <c r="I70" s="75">
        <f>AVERAGE(I71:I74)</f>
        <v>5</v>
      </c>
    </row>
    <row r="71" spans="2:9" ht="16.5" thickBot="1" x14ac:dyDescent="0.3">
      <c r="B71" s="4">
        <v>1</v>
      </c>
      <c r="C71" s="57" t="s">
        <v>130</v>
      </c>
      <c r="D71" s="13">
        <v>1</v>
      </c>
      <c r="E71" s="13">
        <f>IFERROR(AVERAGEIFS('2.1.Atributos MGGTI'!$V$6:$V$204,'2.1.Atributos MGGTI'!$E$6:$E$204,E$31),"")</f>
        <v>1</v>
      </c>
      <c r="F71" s="13">
        <f>IFERROR(AVERAGEIFS('2.1.Atributos MGGTI'!$V$6:$V$204,'2.1.Atributos MGGTI'!$E$6:$E$204,F$31),"")</f>
        <v>1</v>
      </c>
      <c r="G71" s="13">
        <f>IFERROR(AVERAGEIFS('2.1.Atributos MGGTI'!$V$6:$V$204,'2.1.Atributos MGGTI'!$E$6:$E$204,G$31),"")</f>
        <v>1</v>
      </c>
      <c r="H71" s="13">
        <f>IFERROR(AVERAGEIFS('2.1.Atributos MGGTI'!$V$6:$V$204,'2.1.Atributos MGGTI'!$E$6:$E$204,H$31),"")</f>
        <v>1</v>
      </c>
      <c r="I71" s="13">
        <f>AVERAGE(D71:H71)*5</f>
        <v>5</v>
      </c>
    </row>
    <row r="72" spans="2:9" ht="16.5" thickBot="1" x14ac:dyDescent="0.3">
      <c r="B72" s="4">
        <v>2</v>
      </c>
      <c r="C72" s="57" t="s">
        <v>131</v>
      </c>
      <c r="D72" s="13">
        <v>1</v>
      </c>
      <c r="E72" s="13">
        <f>IFERROR(AVERAGEIFS('2.1.Atributos MGGTI'!$W$6:$W$204,'2.1.Atributos MGGTI'!$E$6:$E$204,E$31),"")</f>
        <v>1</v>
      </c>
      <c r="F72" s="13">
        <f>IFERROR(AVERAGEIFS('2.1.Atributos MGGTI'!$W$6:$W$204,'2.1.Atributos MGGTI'!$E$6:$E$204,F$31),"")</f>
        <v>1</v>
      </c>
      <c r="G72" s="13">
        <f>IFERROR(AVERAGEIFS('2.1.Atributos MGGTI'!$W$6:$W$204,'2.1.Atributos MGGTI'!$E$6:$E$204,G$31),"")</f>
        <v>1</v>
      </c>
      <c r="H72" s="267" t="str">
        <f>IFERROR(AVERAGEIFS('2.1.Atributos MGGTI'!$W$6:$W$204,'2.1.Atributos MGGTI'!$E$6:$E$204,H$31),"")</f>
        <v/>
      </c>
      <c r="I72" s="13">
        <f>AVERAGE(D72:H72)*5</f>
        <v>5</v>
      </c>
    </row>
    <row r="73" spans="2:9" ht="16.5" thickBot="1" x14ac:dyDescent="0.3">
      <c r="B73" s="4">
        <v>3</v>
      </c>
      <c r="C73" s="57" t="s">
        <v>132</v>
      </c>
      <c r="D73" s="13">
        <v>1</v>
      </c>
      <c r="E73" s="13">
        <f>IFERROR(AVERAGEIFS('2.1.Atributos MGGTI'!$X$6:$X$204,'2.1.Atributos MGGTI'!$E$6:$E$204,E$31),"")</f>
        <v>1</v>
      </c>
      <c r="F73" s="13">
        <f>IFERROR(AVERAGEIFS('2.1.Atributos MGGTI'!$X$6:$X$204,'2.1.Atributos MGGTI'!$E$6:$E$204,F$31),"")</f>
        <v>1</v>
      </c>
      <c r="G73" s="13">
        <f>IFERROR(AVERAGEIFS('2.1.Atributos MGGTI'!$X$6:$X$204,'2.1.Atributos MGGTI'!$E$6:$E$204,G$31),"")</f>
        <v>1</v>
      </c>
      <c r="H73" s="267" t="str">
        <f>IFERROR(AVERAGEIFS('2.1.Atributos MGGTI'!$X$6:$X$204,'2.1.Atributos MGGTI'!$E$6:$E$204,H$31),"")</f>
        <v/>
      </c>
      <c r="I73" s="13">
        <f>AVERAGE(D73:H73)*5</f>
        <v>5</v>
      </c>
    </row>
    <row r="74" spans="2:9" x14ac:dyDescent="0.25">
      <c r="B74" s="4">
        <v>4</v>
      </c>
      <c r="C74" s="57" t="s">
        <v>122</v>
      </c>
      <c r="D74" s="13">
        <v>1</v>
      </c>
      <c r="E74" s="13">
        <f>IFERROR(AVERAGEIFS('2.1.Atributos MGGTI'!$Y$6:$Y$204,'2.1.Atributos MGGTI'!$E$6:$E$204,E$31),"")</f>
        <v>1</v>
      </c>
      <c r="F74" s="13">
        <f>IFERROR(AVERAGEIFS('2.1.Atributos MGGTI'!$Y$6:$Y$204,'2.1.Atributos MGGTI'!$E$6:$E$204,F$31),"")</f>
        <v>1</v>
      </c>
      <c r="G74" s="267" t="str">
        <f>IFERROR(AVERAGEIFS('2.1.Atributos MGGTI'!$Y$6:$Y$204,'2.1.Atributos MGGTI'!$E$6:$E$204,G$31),"")</f>
        <v/>
      </c>
      <c r="H74" s="267" t="str">
        <f>IFERROR(AVERAGEIFS('2.1.Atributos MGGTI'!$Y$6:$Y$204,'2.1.Atributos MGGTI'!$E$6:$E$204,H$31),"")</f>
        <v/>
      </c>
      <c r="I74" s="13">
        <f>AVERAGE(D74:H74)*5</f>
        <v>5</v>
      </c>
    </row>
    <row r="75" spans="2:9" x14ac:dyDescent="0.25">
      <c r="H75" s="1"/>
      <c r="I75" s="6"/>
    </row>
    <row r="77" spans="2:9" ht="408.95" customHeight="1" x14ac:dyDescent="0.25">
      <c r="C77" s="365"/>
      <c r="D77" s="365"/>
      <c r="E77" s="365"/>
      <c r="F77" s="365"/>
      <c r="G77" s="365"/>
      <c r="H77" s="365"/>
      <c r="I77" s="365"/>
    </row>
    <row r="80" spans="2:9" ht="16.5" thickBot="1" x14ac:dyDescent="0.3"/>
    <row r="81" spans="2:9" ht="24.95" customHeight="1" thickBot="1" x14ac:dyDescent="0.3">
      <c r="C81" s="386" t="s">
        <v>308</v>
      </c>
      <c r="D81" s="140">
        <v>1</v>
      </c>
      <c r="E81" s="140">
        <v>2</v>
      </c>
      <c r="F81" s="141">
        <v>3</v>
      </c>
      <c r="G81" s="142">
        <v>4</v>
      </c>
      <c r="H81" s="141">
        <v>5</v>
      </c>
      <c r="I81" s="143" t="s">
        <v>192</v>
      </c>
    </row>
    <row r="82" spans="2:9" ht="16.5" thickBot="1" x14ac:dyDescent="0.3">
      <c r="C82" s="389"/>
      <c r="D82" s="144" t="s">
        <v>193</v>
      </c>
      <c r="E82" s="145" t="s">
        <v>194</v>
      </c>
      <c r="F82" s="145" t="s">
        <v>195</v>
      </c>
      <c r="G82" s="145" t="s">
        <v>196</v>
      </c>
      <c r="H82" s="145" t="s">
        <v>197</v>
      </c>
      <c r="I82" s="75">
        <f>AVERAGE(I83:I86)</f>
        <v>5</v>
      </c>
    </row>
    <row r="83" spans="2:9" ht="16.5" thickBot="1" x14ac:dyDescent="0.3">
      <c r="B83" s="4">
        <v>1</v>
      </c>
      <c r="C83" s="57" t="s">
        <v>139</v>
      </c>
      <c r="D83" s="147">
        <v>1</v>
      </c>
      <c r="E83" s="13">
        <f>IFERROR(AVERAGEIFS('2.1.Atributos MGGTI'!$Z$6:$Z$207,'2.1.Atributos MGGTI'!$E$6:$E$207,E$31),"")</f>
        <v>1</v>
      </c>
      <c r="F83" s="13">
        <f>IFERROR(AVERAGEIFS('2.1.Atributos MGGTI'!$Z$6:$Z$204,'2.1.Atributos MGGTI'!$E$6:$E$204,F$31),"")</f>
        <v>1</v>
      </c>
      <c r="G83" s="13">
        <f>IFERROR(AVERAGEIFS('2.1.Atributos MGGTI'!$Z$6:$Z$204,'2.1.Atributos MGGTI'!$E$6:$E$204,G$31),"")</f>
        <v>1</v>
      </c>
      <c r="H83" s="13">
        <f>IFERROR(AVERAGEIFS('2.1.Atributos MGGTI'!$Z$6:$Z$204,'2.1.Atributos MGGTI'!$E$6:$E$204,H$31),"")</f>
        <v>1</v>
      </c>
      <c r="I83" s="13">
        <f>AVERAGE(D83:H83)*5</f>
        <v>5</v>
      </c>
    </row>
    <row r="84" spans="2:9" ht="16.5" thickBot="1" x14ac:dyDescent="0.3">
      <c r="B84" s="4">
        <v>2</v>
      </c>
      <c r="C84" s="57" t="s">
        <v>140</v>
      </c>
      <c r="D84" s="148">
        <v>1</v>
      </c>
      <c r="E84" s="13">
        <f>IFERROR(AVERAGEIFS('2.1.Atributos MGGTI'!$AA$6:$AA$207,'2.1.Atributos MGGTI'!$E$6:$E$207,E$31),"")</f>
        <v>1</v>
      </c>
      <c r="F84" s="13">
        <f>IFERROR(AVERAGEIFS('2.1.Atributos MGGTI'!$AA$6:$AA$204,'2.1.Atributos MGGTI'!$E$6:$E$204,F$31),"")</f>
        <v>1</v>
      </c>
      <c r="G84" s="13">
        <f>IFERROR(AVERAGEIFS('2.1.Atributos MGGTI'!$AA$6:$AA$204,'2.1.Atributos MGGTI'!$E$6:$E$204,G$31),"")</f>
        <v>1</v>
      </c>
      <c r="H84" s="13">
        <f>IFERROR(AVERAGEIFS('2.1.Atributos MGGTI'!$AA$6:$AA$204,'2.1.Atributos MGGTI'!$E$6:$E$204,H$31),"")</f>
        <v>1</v>
      </c>
      <c r="I84" s="13">
        <f>AVERAGE(D84:H84)*5</f>
        <v>5</v>
      </c>
    </row>
    <row r="85" spans="2:9" ht="16.5" thickBot="1" x14ac:dyDescent="0.3">
      <c r="B85" s="4">
        <v>3</v>
      </c>
      <c r="C85" s="57" t="s">
        <v>141</v>
      </c>
      <c r="D85" s="148">
        <v>1</v>
      </c>
      <c r="E85" s="13">
        <f>IFERROR(AVERAGEIFS('2.1.Atributos MGGTI'!$AB$6:$AB$207,'2.1.Atributos MGGTI'!$E$6:$E$207,E$31),"")</f>
        <v>1</v>
      </c>
      <c r="F85" s="13">
        <f>IFERROR(AVERAGEIFS('2.1.Atributos MGGTI'!$AB$6:$AB$207,'2.1.Atributos MGGTI'!$E$6:$E$207,F$31),"")</f>
        <v>1</v>
      </c>
      <c r="G85" s="13">
        <f>IFERROR(AVERAGEIFS('2.1.Atributos MGGTI'!$AB$6:$AB$207,'2.1.Atributos MGGTI'!$E$6:$E$207,G$31),"")</f>
        <v>1</v>
      </c>
      <c r="H85" s="13">
        <f>IFERROR(AVERAGEIFS('2.1.Atributos MGGTI'!$AB$6:$AB$207,'2.1.Atributos MGGTI'!$E$6:$E$207,H$31),"")</f>
        <v>1</v>
      </c>
      <c r="I85" s="13">
        <f>AVERAGE(D85:H85)*5</f>
        <v>5</v>
      </c>
    </row>
    <row r="86" spans="2:9" x14ac:dyDescent="0.25">
      <c r="B86" s="4">
        <v>4</v>
      </c>
      <c r="C86" s="57" t="s">
        <v>142</v>
      </c>
      <c r="D86" s="148">
        <v>1</v>
      </c>
      <c r="E86" s="13">
        <f>IFERROR(AVERAGEIFS('2.1.Atributos MGGTI'!$AC$6:$AC$207,'2.1.Atributos MGGTI'!$E$6:$E$207,E$31),"")</f>
        <v>1</v>
      </c>
      <c r="F86" s="13">
        <f>IFERROR(AVERAGEIFS('2.1.Atributos MGGTI'!$AC$6:$AC$207,'2.1.Atributos MGGTI'!$E$6:$E$207,F$31),"")</f>
        <v>1</v>
      </c>
      <c r="G86" s="13">
        <f>IFERROR(AVERAGEIFS('2.1.Atributos MGGTI'!$AC$6:$AC$207,'2.1.Atributos MGGTI'!$E$6:$E$207,G$31),"")</f>
        <v>1</v>
      </c>
      <c r="H86" s="13">
        <f>IFERROR(AVERAGEIFS('2.1.Atributos MGGTI'!$AC$6:$AC$207,'2.1.Atributos MGGTI'!$E$6:$E$207,H$31),"")</f>
        <v>1</v>
      </c>
      <c r="I86" s="13">
        <f>AVERAGE(D86:H86)*5</f>
        <v>5</v>
      </c>
    </row>
    <row r="87" spans="2:9" x14ac:dyDescent="0.25">
      <c r="H87" s="1"/>
      <c r="I87" s="1"/>
    </row>
    <row r="89" spans="2:9" ht="409.5" customHeight="1" x14ac:dyDescent="0.25">
      <c r="C89" s="365"/>
      <c r="D89" s="365"/>
      <c r="E89" s="365"/>
      <c r="F89" s="365"/>
      <c r="G89" s="365"/>
      <c r="H89" s="365"/>
      <c r="I89" s="365"/>
    </row>
    <row r="92" spans="2:9" ht="16.5" thickBot="1" x14ac:dyDescent="0.3"/>
    <row r="93" spans="2:9" ht="16.5" thickBot="1" x14ac:dyDescent="0.3">
      <c r="C93" s="386" t="s">
        <v>309</v>
      </c>
      <c r="D93" s="140">
        <v>1</v>
      </c>
      <c r="E93" s="140">
        <v>2</v>
      </c>
      <c r="F93" s="141">
        <v>3</v>
      </c>
      <c r="G93" s="142">
        <v>4</v>
      </c>
      <c r="H93" s="141">
        <v>5</v>
      </c>
      <c r="I93" s="143" t="s">
        <v>192</v>
      </c>
    </row>
    <row r="94" spans="2:9" ht="16.5" thickBot="1" x14ac:dyDescent="0.3">
      <c r="C94" s="387"/>
      <c r="D94" s="144" t="s">
        <v>193</v>
      </c>
      <c r="E94" s="145" t="s">
        <v>194</v>
      </c>
      <c r="F94" s="145" t="s">
        <v>195</v>
      </c>
      <c r="G94" s="145" t="s">
        <v>196</v>
      </c>
      <c r="H94" s="145" t="s">
        <v>197</v>
      </c>
      <c r="I94" s="75">
        <f>AVERAGE(I95:I98)</f>
        <v>5</v>
      </c>
    </row>
    <row r="95" spans="2:9" x14ac:dyDescent="0.25">
      <c r="C95" s="57" t="s">
        <v>149</v>
      </c>
      <c r="D95" s="269">
        <v>1</v>
      </c>
      <c r="E95" s="123">
        <f>IFERROR(AVERAGEIFS('2.1.Atributos MGGTI'!$AD$6:$AD$207,'2.1.Atributos MGGTI'!$E$6:$E$207,E$31),"")</f>
        <v>1</v>
      </c>
      <c r="F95" s="123">
        <f>IFERROR(AVERAGEIFS('2.1.Atributos MGGTI'!$AD$6:$AD$207,'2.1.Atributos MGGTI'!$E$6:$E$207,F$31),"")</f>
        <v>1</v>
      </c>
      <c r="G95" s="123">
        <f>IFERROR(AVERAGEIFS('2.1.Atributos MGGTI'!$AD$6:$AD$207,'2.1.Atributos MGGTI'!$E$6:$E$207,G$31),"")</f>
        <v>1</v>
      </c>
      <c r="H95" s="124">
        <f>IFERROR(AVERAGEIFS('2.1.Atributos MGGTI'!$AD$6:$AD$207,'2.1.Atributos MGGTI'!$E$6:$E$207,H$31),"")</f>
        <v>1</v>
      </c>
      <c r="I95" s="146">
        <f>AVERAGE(D95:H95)*5</f>
        <v>5</v>
      </c>
    </row>
    <row r="96" spans="2:9" x14ac:dyDescent="0.25">
      <c r="C96" s="26" t="s">
        <v>150</v>
      </c>
      <c r="D96" s="268">
        <v>1</v>
      </c>
      <c r="E96" s="13">
        <f>IFERROR(AVERAGEIFS('2.1.Atributos MGGTI'!$AE$6:$AE$207,'2.1.Atributos MGGTI'!$E$6:$E$207,E$31),"")</f>
        <v>1</v>
      </c>
      <c r="F96" s="13">
        <f>IFERROR(AVERAGEIFS('2.1.Atributos MGGTI'!$AE$6:$AE$207,'2.1.Atributos MGGTI'!$E$6:$E$207,F$31),"")</f>
        <v>1</v>
      </c>
      <c r="G96" s="13">
        <f>IFERROR(AVERAGEIFS('2.1.Atributos MGGTI'!$AE$6:$AE$207,'2.1.Atributos MGGTI'!$E$6:$E$207,G$31),"")</f>
        <v>1</v>
      </c>
      <c r="H96" s="270" t="str">
        <f>IFERROR(AVERAGEIFS('2.1.Atributos MGGTI'!$AE$6:$AE$207,'2.1.Atributos MGGTI'!$E$6:$E$207,H$31),"")</f>
        <v/>
      </c>
      <c r="I96" s="146">
        <f>AVERAGE(D96:H96)*5</f>
        <v>5</v>
      </c>
    </row>
    <row r="97" spans="3:9" ht="16.5" thickBot="1" x14ac:dyDescent="0.3">
      <c r="C97" s="58" t="s">
        <v>151</v>
      </c>
      <c r="D97" s="271">
        <v>1</v>
      </c>
      <c r="E97" s="164">
        <f>IFERROR(AVERAGEIFS('2.1.Atributos MGGTI'!$AF$6:$AF$207,'2.1.Atributos MGGTI'!$E$6:$E$207,E$31),"")</f>
        <v>1</v>
      </c>
      <c r="F97" s="164">
        <f>IFERROR(AVERAGEIFS('2.1.Atributos MGGTI'!$AF$6:$AF$207,'2.1.Atributos MGGTI'!$E$6:$E$207,F$31),"")</f>
        <v>1</v>
      </c>
      <c r="G97" s="164">
        <f>IFERROR(AVERAGEIFS('2.1.Atributos MGGTI'!$AF$6:$AF$207,'2.1.Atributos MGGTI'!$E$6:$E$207,G$31),"")</f>
        <v>1</v>
      </c>
      <c r="H97" s="272">
        <f>IFERROR(AVERAGEIFS('2.1.Atributos MGGTI'!$AF$6:$AF$207,'2.1.Atributos MGGTI'!$E$6:$E$207,H$31),"")</f>
        <v>1</v>
      </c>
      <c r="I97" s="146">
        <f>AVERAGE(D97:H97)*5</f>
        <v>5</v>
      </c>
    </row>
    <row r="98" spans="3:9" x14ac:dyDescent="0.25">
      <c r="H98" s="1"/>
      <c r="I98" s="1"/>
    </row>
  </sheetData>
  <sheetProtection algorithmName="SHA-512" hashValue="BrzCnWybryN7dZeoSM+xQB9VpASK+8fSxAZn0hJivss6gxt0l9tji7+1bcN4SEkfGW1ohbGmWilOFvs5i6Jn/g==" saltValue="/SA+h8mokSvmfz+2sHa0dQ==" spinCount="100000" autoFilter="0" pivotTables="0"/>
  <mergeCells count="15">
    <mergeCell ref="C93:C94"/>
    <mergeCell ref="B2:H6"/>
    <mergeCell ref="C17:C18"/>
    <mergeCell ref="C31:C32"/>
    <mergeCell ref="C89:I89"/>
    <mergeCell ref="C14:I14"/>
    <mergeCell ref="C28:I28"/>
    <mergeCell ref="C40:I40"/>
    <mergeCell ref="C53:I53"/>
    <mergeCell ref="C66:I66"/>
    <mergeCell ref="C77:I77"/>
    <mergeCell ref="C44:C45"/>
    <mergeCell ref="C57:C58"/>
    <mergeCell ref="C69:C70"/>
    <mergeCell ref="C81:C82"/>
  </mergeCells>
  <hyperlinks>
    <hyperlink ref="A1" location="Inicio!A1" display="Inicio" xr:uid="{56153DD8-2565-814A-B88A-892BFE394734}"/>
  </hyperlinks>
  <pageMargins left="0.7" right="0.7" top="0.75" bottom="0.75" header="0.3" footer="0.3"/>
  <pageSetup orientation="portrait" horizontalDpi="0" verticalDpi="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FAA2A-3AF9-8B4F-B932-C132471171A6}">
  <sheetPr codeName="Hoja8"/>
  <dimension ref="A1:AF207"/>
  <sheetViews>
    <sheetView showGridLines="0" zoomScale="40" zoomScaleNormal="40" workbookViewId="0">
      <selection activeCell="B2" sqref="B2"/>
    </sheetView>
  </sheetViews>
  <sheetFormatPr baseColWidth="10" defaultColWidth="10.875" defaultRowHeight="15" x14ac:dyDescent="0.2"/>
  <cols>
    <col min="1" max="1" width="10.875" style="10"/>
    <col min="2" max="2" width="10.875" style="11"/>
    <col min="3" max="3" width="13.625" style="135" customWidth="1"/>
    <col min="4" max="4" width="36.125" style="11" customWidth="1"/>
    <col min="5" max="5" width="10.875" style="11"/>
    <col min="6" max="6" width="23.5" style="99" customWidth="1"/>
    <col min="7" max="7" width="9.625" style="122" customWidth="1"/>
    <col min="8" max="15" width="16.875" style="10" customWidth="1"/>
    <col min="16" max="16" width="19" style="10" customWidth="1"/>
    <col min="17" max="20" width="16.875" style="10" customWidth="1"/>
    <col min="21" max="21" width="18" style="10" customWidth="1"/>
    <col min="22" max="32" width="16.875" style="10" customWidth="1"/>
    <col min="33" max="16384" width="10.875" style="10"/>
  </cols>
  <sheetData>
    <row r="1" spans="1:32" ht="15.75" x14ac:dyDescent="0.25">
      <c r="A1" s="273" t="s">
        <v>52</v>
      </c>
    </row>
    <row r="2" spans="1:32" ht="72.95" customHeight="1" x14ac:dyDescent="0.2">
      <c r="B2" s="135"/>
      <c r="D2" s="375" t="s">
        <v>38</v>
      </c>
      <c r="E2" s="375"/>
      <c r="F2" s="375"/>
      <c r="G2" s="375"/>
      <c r="H2" s="375"/>
      <c r="I2" s="375"/>
      <c r="J2" s="375"/>
      <c r="K2" s="375"/>
      <c r="L2" s="375"/>
      <c r="M2" s="375"/>
      <c r="N2" s="375"/>
      <c r="O2" s="375"/>
      <c r="P2" s="375"/>
      <c r="Q2" s="375"/>
      <c r="R2" s="375"/>
      <c r="S2" s="375"/>
      <c r="T2" s="375"/>
      <c r="U2" s="375"/>
      <c r="V2" s="375"/>
      <c r="W2" s="375"/>
      <c r="X2" s="375"/>
      <c r="Y2" s="375"/>
    </row>
    <row r="3" spans="1:32" ht="15.75" thickBot="1" x14ac:dyDescent="0.25"/>
    <row r="4" spans="1:32" ht="47.1" customHeight="1" thickBot="1" x14ac:dyDescent="0.4">
      <c r="C4" s="136"/>
      <c r="E4" s="390"/>
      <c r="F4" s="390"/>
      <c r="G4" s="391"/>
      <c r="H4" s="376" t="s">
        <v>310</v>
      </c>
      <c r="I4" s="377"/>
      <c r="J4" s="377"/>
      <c r="K4" s="377"/>
      <c r="L4" s="377"/>
      <c r="M4" s="376" t="s">
        <v>304</v>
      </c>
      <c r="N4" s="377"/>
      <c r="O4" s="377"/>
      <c r="P4" s="377"/>
      <c r="Q4" s="378"/>
      <c r="R4" s="376" t="s">
        <v>305</v>
      </c>
      <c r="S4" s="377"/>
      <c r="T4" s="377"/>
      <c r="U4" s="378"/>
      <c r="V4" s="376" t="s">
        <v>307</v>
      </c>
      <c r="W4" s="377"/>
      <c r="X4" s="377"/>
      <c r="Y4" s="378"/>
      <c r="Z4" s="376" t="s">
        <v>311</v>
      </c>
      <c r="AA4" s="377"/>
      <c r="AB4" s="377"/>
      <c r="AC4" s="378"/>
      <c r="AD4" s="376" t="s">
        <v>312</v>
      </c>
      <c r="AE4" s="377"/>
      <c r="AF4" s="378"/>
    </row>
    <row r="5" spans="1:32" ht="94.5" thickBot="1" x14ac:dyDescent="0.25">
      <c r="A5" s="322" t="s">
        <v>313</v>
      </c>
      <c r="B5" s="323" t="s">
        <v>215</v>
      </c>
      <c r="C5" s="323" t="s">
        <v>314</v>
      </c>
      <c r="D5" s="323" t="s">
        <v>315</v>
      </c>
      <c r="E5" s="323" t="s">
        <v>216</v>
      </c>
      <c r="F5" s="323" t="s">
        <v>316</v>
      </c>
      <c r="G5" s="324" t="s">
        <v>192</v>
      </c>
      <c r="H5" s="311" t="s">
        <v>96</v>
      </c>
      <c r="I5" s="280" t="s">
        <v>97</v>
      </c>
      <c r="J5" s="280" t="s">
        <v>98</v>
      </c>
      <c r="K5" s="280" t="s">
        <v>99</v>
      </c>
      <c r="L5" s="280" t="s">
        <v>100</v>
      </c>
      <c r="M5" s="277" t="s">
        <v>108</v>
      </c>
      <c r="N5" s="278" t="s">
        <v>109</v>
      </c>
      <c r="O5" s="278" t="s">
        <v>110</v>
      </c>
      <c r="P5" s="278" t="s">
        <v>111</v>
      </c>
      <c r="Q5" s="278" t="s">
        <v>112</v>
      </c>
      <c r="R5" s="278" t="s">
        <v>306</v>
      </c>
      <c r="S5" s="278" t="s">
        <v>121</v>
      </c>
      <c r="T5" s="278" t="s">
        <v>122</v>
      </c>
      <c r="U5" s="278" t="s">
        <v>123</v>
      </c>
      <c r="V5" s="278" t="s">
        <v>130</v>
      </c>
      <c r="W5" s="278" t="s">
        <v>131</v>
      </c>
      <c r="X5" s="278" t="s">
        <v>132</v>
      </c>
      <c r="Y5" s="278" t="s">
        <v>122</v>
      </c>
      <c r="Z5" s="278" t="s">
        <v>139</v>
      </c>
      <c r="AA5" s="278" t="s">
        <v>140</v>
      </c>
      <c r="AB5" s="278" t="s">
        <v>141</v>
      </c>
      <c r="AC5" s="278" t="s">
        <v>142</v>
      </c>
      <c r="AD5" s="278" t="s">
        <v>149</v>
      </c>
      <c r="AE5" s="278" t="s">
        <v>150</v>
      </c>
      <c r="AF5" s="278" t="s">
        <v>151</v>
      </c>
    </row>
    <row r="6" spans="1:32" customFormat="1" ht="99.95" customHeight="1" x14ac:dyDescent="0.25">
      <c r="A6" s="207">
        <v>0</v>
      </c>
      <c r="B6" s="325">
        <v>0</v>
      </c>
      <c r="C6" s="326" t="s">
        <v>317</v>
      </c>
      <c r="D6" s="326" t="s">
        <v>318</v>
      </c>
      <c r="E6" s="208">
        <v>1</v>
      </c>
      <c r="F6" s="326" t="s">
        <v>319</v>
      </c>
      <c r="G6" s="327">
        <v>1</v>
      </c>
      <c r="H6" s="104"/>
      <c r="I6" s="104"/>
      <c r="J6" s="104"/>
      <c r="K6" s="104"/>
      <c r="L6" s="105"/>
      <c r="M6" s="129"/>
      <c r="N6" s="130"/>
      <c r="O6" s="130"/>
      <c r="P6" s="130"/>
      <c r="Q6" s="131"/>
      <c r="R6" s="129"/>
      <c r="S6" s="130"/>
      <c r="T6" s="130"/>
      <c r="U6" s="131"/>
      <c r="V6" s="103"/>
      <c r="W6" s="104"/>
      <c r="X6" s="104"/>
      <c r="Y6" s="105"/>
      <c r="Z6" s="158"/>
      <c r="AA6" s="153"/>
      <c r="AB6" s="153"/>
      <c r="AC6" s="154"/>
      <c r="AD6" s="153"/>
      <c r="AE6" s="153"/>
      <c r="AF6" s="154"/>
    </row>
    <row r="7" spans="1:32" customFormat="1" ht="99.95" customHeight="1" x14ac:dyDescent="0.25">
      <c r="A7" s="93">
        <v>1</v>
      </c>
      <c r="B7" s="292">
        <v>1</v>
      </c>
      <c r="C7" s="312" t="s">
        <v>320</v>
      </c>
      <c r="D7" s="312" t="s">
        <v>321</v>
      </c>
      <c r="E7" s="313">
        <v>2</v>
      </c>
      <c r="F7" s="312" t="s">
        <v>95</v>
      </c>
      <c r="G7" s="328">
        <f>VLOOKUP(A7,'2.2.Evaluación MGGTI'!$A$6:$F$207,6,0)</f>
        <v>1</v>
      </c>
      <c r="H7" s="110">
        <f>G7</f>
        <v>1</v>
      </c>
      <c r="I7" s="101"/>
      <c r="J7" s="101"/>
      <c r="K7" s="101"/>
      <c r="L7" s="102"/>
      <c r="M7" s="109"/>
      <c r="N7" s="107"/>
      <c r="O7" s="107"/>
      <c r="P7" s="107"/>
      <c r="Q7" s="108"/>
      <c r="R7" s="109"/>
      <c r="S7" s="107"/>
      <c r="T7" s="107"/>
      <c r="U7" s="108"/>
      <c r="V7" s="100"/>
      <c r="W7" s="101"/>
      <c r="X7" s="101"/>
      <c r="Y7" s="102"/>
      <c r="Z7" s="159"/>
      <c r="AA7" s="149"/>
      <c r="AB7" s="149"/>
      <c r="AC7" s="155"/>
      <c r="AD7" s="149"/>
      <c r="AE7" s="149"/>
      <c r="AF7" s="155"/>
    </row>
    <row r="8" spans="1:32" customFormat="1" ht="99.95" customHeight="1" x14ac:dyDescent="0.25">
      <c r="A8" s="93">
        <v>2</v>
      </c>
      <c r="B8" s="292">
        <v>1</v>
      </c>
      <c r="C8" s="312" t="s">
        <v>320</v>
      </c>
      <c r="D8" s="312" t="s">
        <v>322</v>
      </c>
      <c r="E8" s="90">
        <v>3</v>
      </c>
      <c r="F8" s="312" t="s">
        <v>95</v>
      </c>
      <c r="G8" s="328">
        <f>VLOOKUP(A8,'2.2.Evaluación MGGTI'!$A$6:$F$207,6,0)</f>
        <v>1</v>
      </c>
      <c r="H8" s="110">
        <f>G8</f>
        <v>1</v>
      </c>
      <c r="I8" s="107"/>
      <c r="J8" s="107"/>
      <c r="K8" s="107"/>
      <c r="L8" s="108"/>
      <c r="M8" s="109"/>
      <c r="N8" s="107"/>
      <c r="O8" s="107"/>
      <c r="P8" s="107"/>
      <c r="Q8" s="108"/>
      <c r="R8" s="109"/>
      <c r="S8" s="107"/>
      <c r="T8" s="107"/>
      <c r="U8" s="108"/>
      <c r="V8" s="100"/>
      <c r="W8" s="101"/>
      <c r="X8" s="101"/>
      <c r="Y8" s="102"/>
      <c r="Z8" s="159"/>
      <c r="AA8" s="149"/>
      <c r="AB8" s="149"/>
      <c r="AC8" s="155"/>
      <c r="AD8" s="149"/>
      <c r="AE8" s="149"/>
      <c r="AF8" s="155"/>
    </row>
    <row r="9" spans="1:32" customFormat="1" ht="99.95" customHeight="1" x14ac:dyDescent="0.25">
      <c r="A9" s="93">
        <v>3</v>
      </c>
      <c r="B9" s="292">
        <v>1</v>
      </c>
      <c r="C9" s="312" t="s">
        <v>320</v>
      </c>
      <c r="D9" s="312" t="s">
        <v>323</v>
      </c>
      <c r="E9" s="90">
        <v>4</v>
      </c>
      <c r="F9" s="312" t="s">
        <v>95</v>
      </c>
      <c r="G9" s="328">
        <f>VLOOKUP(A9,'2.2.Evaluación MGGTI'!$A$6:$F$207,6,0)</f>
        <v>1</v>
      </c>
      <c r="H9" s="110">
        <f>G9</f>
        <v>1</v>
      </c>
      <c r="I9" s="107"/>
      <c r="J9" s="107"/>
      <c r="K9" s="107"/>
      <c r="L9" s="108"/>
      <c r="M9" s="109"/>
      <c r="N9" s="107"/>
      <c r="O9" s="107"/>
      <c r="P9" s="107"/>
      <c r="Q9" s="108"/>
      <c r="R9" s="109"/>
      <c r="S9" s="107"/>
      <c r="T9" s="107"/>
      <c r="U9" s="108"/>
      <c r="V9" s="100"/>
      <c r="W9" s="101"/>
      <c r="X9" s="101"/>
      <c r="Y9" s="102"/>
      <c r="Z9" s="159"/>
      <c r="AA9" s="149"/>
      <c r="AB9" s="149"/>
      <c r="AC9" s="155"/>
      <c r="AD9" s="149"/>
      <c r="AE9" s="149"/>
      <c r="AF9" s="155"/>
    </row>
    <row r="10" spans="1:32" customFormat="1" ht="99.95" customHeight="1" x14ac:dyDescent="0.25">
      <c r="A10" s="93">
        <v>4</v>
      </c>
      <c r="B10" s="292">
        <v>1</v>
      </c>
      <c r="C10" s="312" t="s">
        <v>320</v>
      </c>
      <c r="D10" s="312" t="s">
        <v>324</v>
      </c>
      <c r="E10" s="90">
        <v>5</v>
      </c>
      <c r="F10" s="312" t="s">
        <v>95</v>
      </c>
      <c r="G10" s="328">
        <f>VLOOKUP(A10,'2.2.Evaluación MGGTI'!$A$6:$F$207,6,0)</f>
        <v>1</v>
      </c>
      <c r="H10" s="110">
        <f>G10</f>
        <v>1</v>
      </c>
      <c r="I10" s="107"/>
      <c r="J10" s="107"/>
      <c r="K10" s="107"/>
      <c r="L10" s="108"/>
      <c r="M10" s="109"/>
      <c r="N10" s="107"/>
      <c r="O10" s="107"/>
      <c r="P10" s="107"/>
      <c r="Q10" s="108"/>
      <c r="R10" s="109"/>
      <c r="S10" s="107"/>
      <c r="T10" s="107"/>
      <c r="U10" s="108"/>
      <c r="V10" s="100"/>
      <c r="W10" s="101"/>
      <c r="X10" s="101"/>
      <c r="Y10" s="102"/>
      <c r="Z10" s="159"/>
      <c r="AA10" s="149"/>
      <c r="AB10" s="149"/>
      <c r="AC10" s="155"/>
      <c r="AD10" s="149"/>
      <c r="AE10" s="149"/>
      <c r="AF10" s="155"/>
    </row>
    <row r="11" spans="1:32" customFormat="1" ht="99.95" customHeight="1" x14ac:dyDescent="0.25">
      <c r="A11" s="93">
        <v>5</v>
      </c>
      <c r="B11" s="292">
        <v>2</v>
      </c>
      <c r="C11" s="312" t="s">
        <v>325</v>
      </c>
      <c r="D11" s="312" t="s">
        <v>326</v>
      </c>
      <c r="E11" s="90">
        <v>2</v>
      </c>
      <c r="F11" s="312" t="s">
        <v>95</v>
      </c>
      <c r="G11" s="328">
        <f>VLOOKUP(A11,'2.2.Evaluación MGGTI'!$A$6:$F$207,6,0)</f>
        <v>1</v>
      </c>
      <c r="H11" s="107"/>
      <c r="I11" s="110">
        <f>G11</f>
        <v>1</v>
      </c>
      <c r="J11" s="107"/>
      <c r="K11" s="107"/>
      <c r="L11" s="108"/>
      <c r="M11" s="109"/>
      <c r="N11" s="107"/>
      <c r="O11" s="107"/>
      <c r="P11" s="107"/>
      <c r="Q11" s="108"/>
      <c r="R11" s="109"/>
      <c r="S11" s="107"/>
      <c r="T11" s="107"/>
      <c r="U11" s="108"/>
      <c r="V11" s="100"/>
      <c r="W11" s="101"/>
      <c r="X11" s="101"/>
      <c r="Y11" s="102"/>
      <c r="Z11" s="159"/>
      <c r="AA11" s="149"/>
      <c r="AB11" s="149"/>
      <c r="AC11" s="155"/>
      <c r="AD11" s="149"/>
      <c r="AE11" s="149"/>
      <c r="AF11" s="155"/>
    </row>
    <row r="12" spans="1:32" customFormat="1" ht="99.95" customHeight="1" x14ac:dyDescent="0.25">
      <c r="A12" s="93">
        <v>6</v>
      </c>
      <c r="B12" s="292">
        <v>2</v>
      </c>
      <c r="C12" s="312" t="s">
        <v>325</v>
      </c>
      <c r="D12" s="312" t="s">
        <v>327</v>
      </c>
      <c r="E12" s="90">
        <v>3</v>
      </c>
      <c r="F12" s="312" t="s">
        <v>95</v>
      </c>
      <c r="G12" s="328">
        <f>VLOOKUP(A12,'2.2.Evaluación MGGTI'!$A$6:$F$207,6,0)</f>
        <v>1</v>
      </c>
      <c r="H12" s="107"/>
      <c r="I12" s="110">
        <f>G12</f>
        <v>1</v>
      </c>
      <c r="J12" s="107"/>
      <c r="K12" s="107"/>
      <c r="L12" s="108"/>
      <c r="M12" s="109"/>
      <c r="N12" s="107"/>
      <c r="O12" s="107"/>
      <c r="P12" s="107"/>
      <c r="Q12" s="108"/>
      <c r="R12" s="109"/>
      <c r="S12" s="107"/>
      <c r="T12" s="107"/>
      <c r="U12" s="108"/>
      <c r="V12" s="100"/>
      <c r="W12" s="101"/>
      <c r="X12" s="101"/>
      <c r="Y12" s="102"/>
      <c r="Z12" s="159"/>
      <c r="AA12" s="149"/>
      <c r="AB12" s="149"/>
      <c r="AC12" s="155"/>
      <c r="AD12" s="149"/>
      <c r="AE12" s="149"/>
      <c r="AF12" s="155"/>
    </row>
    <row r="13" spans="1:32" customFormat="1" ht="99.95" customHeight="1" x14ac:dyDescent="0.25">
      <c r="A13" s="93">
        <v>7</v>
      </c>
      <c r="B13" s="292">
        <v>3</v>
      </c>
      <c r="C13" s="314" t="s">
        <v>328</v>
      </c>
      <c r="D13" s="312" t="s">
        <v>329</v>
      </c>
      <c r="E13" s="90">
        <v>3</v>
      </c>
      <c r="F13" s="312" t="s">
        <v>95</v>
      </c>
      <c r="G13" s="328">
        <f>VLOOKUP(A13,'2.2.Evaluación MGGTI'!$A$6:$F$207,6,0)</f>
        <v>1</v>
      </c>
      <c r="H13" s="107"/>
      <c r="I13" s="110">
        <f>G13</f>
        <v>1</v>
      </c>
      <c r="J13" s="107"/>
      <c r="K13" s="107"/>
      <c r="L13" s="108"/>
      <c r="M13" s="109"/>
      <c r="N13" s="107"/>
      <c r="O13" s="107"/>
      <c r="P13" s="107"/>
      <c r="Q13" s="108"/>
      <c r="R13" s="109"/>
      <c r="S13" s="107"/>
      <c r="T13" s="107"/>
      <c r="U13" s="108"/>
      <c r="V13" s="100"/>
      <c r="W13" s="101"/>
      <c r="X13" s="101"/>
      <c r="Y13" s="102"/>
      <c r="Z13" s="159"/>
      <c r="AA13" s="149"/>
      <c r="AB13" s="149"/>
      <c r="AC13" s="155"/>
      <c r="AD13" s="149"/>
      <c r="AE13" s="149"/>
      <c r="AF13" s="155"/>
    </row>
    <row r="14" spans="1:32" customFormat="1" ht="99.95" customHeight="1" x14ac:dyDescent="0.25">
      <c r="A14" s="93">
        <v>8</v>
      </c>
      <c r="B14" s="292">
        <v>4</v>
      </c>
      <c r="C14" s="314" t="s">
        <v>330</v>
      </c>
      <c r="D14" s="314" t="s">
        <v>331</v>
      </c>
      <c r="E14" s="90">
        <v>2</v>
      </c>
      <c r="F14" s="312" t="s">
        <v>95</v>
      </c>
      <c r="G14" s="328">
        <f>VLOOKUP(A14,'2.2.Evaluación MGGTI'!$A$6:$F$207,6,0)</f>
        <v>1</v>
      </c>
      <c r="H14" s="107"/>
      <c r="I14" s="107"/>
      <c r="J14" s="110">
        <f>G14</f>
        <v>1</v>
      </c>
      <c r="K14" s="107"/>
      <c r="L14" s="108"/>
      <c r="M14" s="109"/>
      <c r="N14" s="107"/>
      <c r="O14" s="107"/>
      <c r="P14" s="107"/>
      <c r="Q14" s="108"/>
      <c r="R14" s="109"/>
      <c r="S14" s="107"/>
      <c r="T14" s="107"/>
      <c r="U14" s="108"/>
      <c r="V14" s="100"/>
      <c r="W14" s="101"/>
      <c r="X14" s="101"/>
      <c r="Y14" s="102"/>
      <c r="Z14" s="159"/>
      <c r="AA14" s="149"/>
      <c r="AB14" s="149"/>
      <c r="AC14" s="155"/>
      <c r="AD14" s="149"/>
      <c r="AE14" s="149"/>
      <c r="AF14" s="155"/>
    </row>
    <row r="15" spans="1:32" customFormat="1" ht="99.95" customHeight="1" x14ac:dyDescent="0.25">
      <c r="A15" s="93">
        <v>9</v>
      </c>
      <c r="B15" s="292">
        <v>4</v>
      </c>
      <c r="C15" s="314" t="s">
        <v>330</v>
      </c>
      <c r="D15" s="314" t="s">
        <v>332</v>
      </c>
      <c r="E15" s="90">
        <v>3</v>
      </c>
      <c r="F15" s="312" t="s">
        <v>95</v>
      </c>
      <c r="G15" s="328">
        <f>VLOOKUP(A15,'2.2.Evaluación MGGTI'!$A$6:$F$207,6,0)</f>
        <v>1</v>
      </c>
      <c r="H15" s="107"/>
      <c r="I15" s="107"/>
      <c r="J15" s="110">
        <f>G15</f>
        <v>1</v>
      </c>
      <c r="K15" s="107"/>
      <c r="L15" s="108"/>
      <c r="M15" s="109"/>
      <c r="N15" s="107"/>
      <c r="O15" s="107"/>
      <c r="P15" s="107"/>
      <c r="Q15" s="108"/>
      <c r="R15" s="109"/>
      <c r="S15" s="107"/>
      <c r="T15" s="107"/>
      <c r="U15" s="108"/>
      <c r="V15" s="100"/>
      <c r="W15" s="101"/>
      <c r="X15" s="101"/>
      <c r="Y15" s="102"/>
      <c r="Z15" s="159"/>
      <c r="AA15" s="149"/>
      <c r="AB15" s="149"/>
      <c r="AC15" s="155"/>
      <c r="AD15" s="149"/>
      <c r="AE15" s="149"/>
      <c r="AF15" s="155"/>
    </row>
    <row r="16" spans="1:32" customFormat="1" ht="99.95" customHeight="1" x14ac:dyDescent="0.25">
      <c r="A16" s="93">
        <v>10</v>
      </c>
      <c r="B16" s="292">
        <v>4</v>
      </c>
      <c r="C16" s="314" t="s">
        <v>330</v>
      </c>
      <c r="D16" s="314" t="s">
        <v>333</v>
      </c>
      <c r="E16" s="90">
        <v>4</v>
      </c>
      <c r="F16" s="312" t="s">
        <v>95</v>
      </c>
      <c r="G16" s="328">
        <f>VLOOKUP(A16,'2.2.Evaluación MGGTI'!$A$6:$F$207,6,0)</f>
        <v>1</v>
      </c>
      <c r="H16" s="107"/>
      <c r="I16" s="107"/>
      <c r="J16" s="110">
        <f>G16</f>
        <v>1</v>
      </c>
      <c r="K16" s="107"/>
      <c r="L16" s="108"/>
      <c r="M16" s="109"/>
      <c r="N16" s="107"/>
      <c r="O16" s="107"/>
      <c r="P16" s="107"/>
      <c r="Q16" s="108"/>
      <c r="R16" s="109"/>
      <c r="S16" s="107"/>
      <c r="T16" s="107"/>
      <c r="U16" s="108"/>
      <c r="V16" s="100"/>
      <c r="W16" s="101"/>
      <c r="X16" s="101"/>
      <c r="Y16" s="102"/>
      <c r="Z16" s="159"/>
      <c r="AA16" s="149"/>
      <c r="AB16" s="149"/>
      <c r="AC16" s="155"/>
      <c r="AD16" s="149"/>
      <c r="AE16" s="149"/>
      <c r="AF16" s="155"/>
    </row>
    <row r="17" spans="1:32" customFormat="1" ht="99.95" customHeight="1" x14ac:dyDescent="0.25">
      <c r="A17" s="93">
        <v>11</v>
      </c>
      <c r="B17" s="292">
        <v>4</v>
      </c>
      <c r="C17" s="314" t="s">
        <v>330</v>
      </c>
      <c r="D17" s="314" t="s">
        <v>334</v>
      </c>
      <c r="E17" s="90">
        <v>5</v>
      </c>
      <c r="F17" s="312" t="s">
        <v>95</v>
      </c>
      <c r="G17" s="328">
        <f>VLOOKUP(A17,'2.2.Evaluación MGGTI'!$A$6:$F$207,6,0)</f>
        <v>1</v>
      </c>
      <c r="H17" s="110">
        <f t="shared" ref="H17" si="0">G17</f>
        <v>1</v>
      </c>
      <c r="I17" s="107"/>
      <c r="J17" s="110">
        <f>G17</f>
        <v>1</v>
      </c>
      <c r="K17" s="107"/>
      <c r="L17" s="108"/>
      <c r="M17" s="109"/>
      <c r="N17" s="107"/>
      <c r="O17" s="107"/>
      <c r="P17" s="107"/>
      <c r="Q17" s="108"/>
      <c r="R17" s="109"/>
      <c r="S17" s="107"/>
      <c r="T17" s="107"/>
      <c r="U17" s="108"/>
      <c r="V17" s="100"/>
      <c r="W17" s="101"/>
      <c r="X17" s="101"/>
      <c r="Y17" s="102"/>
      <c r="Z17" s="159"/>
      <c r="AA17" s="149"/>
      <c r="AB17" s="149"/>
      <c r="AC17" s="155"/>
      <c r="AD17" s="149"/>
      <c r="AE17" s="149"/>
      <c r="AF17" s="155"/>
    </row>
    <row r="18" spans="1:32" customFormat="1" ht="99.95" customHeight="1" x14ac:dyDescent="0.25">
      <c r="A18" s="93">
        <v>12</v>
      </c>
      <c r="B18" s="292">
        <v>5</v>
      </c>
      <c r="C18" s="314" t="s">
        <v>335</v>
      </c>
      <c r="D18" s="314" t="s">
        <v>336</v>
      </c>
      <c r="E18" s="90">
        <v>2</v>
      </c>
      <c r="F18" s="312" t="s">
        <v>95</v>
      </c>
      <c r="G18" s="328">
        <f>VLOOKUP(A18,'2.2.Evaluación MGGTI'!$A$6:$F$207,6,0)</f>
        <v>1</v>
      </c>
      <c r="H18" s="107"/>
      <c r="I18" s="110">
        <f t="shared" ref="I18:I25" si="1">G18</f>
        <v>1</v>
      </c>
      <c r="J18" s="107"/>
      <c r="K18" s="107"/>
      <c r="L18" s="108"/>
      <c r="M18" s="109"/>
      <c r="N18" s="107"/>
      <c r="O18" s="107"/>
      <c r="P18" s="107"/>
      <c r="Q18" s="108"/>
      <c r="R18" s="109"/>
      <c r="S18" s="107"/>
      <c r="T18" s="107"/>
      <c r="U18" s="108"/>
      <c r="V18" s="100"/>
      <c r="W18" s="101"/>
      <c r="X18" s="101"/>
      <c r="Y18" s="102"/>
      <c r="Z18" s="159"/>
      <c r="AA18" s="149"/>
      <c r="AB18" s="149"/>
      <c r="AC18" s="155"/>
      <c r="AD18" s="149"/>
      <c r="AE18" s="149"/>
      <c r="AF18" s="155"/>
    </row>
    <row r="19" spans="1:32" customFormat="1" ht="99.95" customHeight="1" x14ac:dyDescent="0.25">
      <c r="A19" s="93">
        <v>13</v>
      </c>
      <c r="B19" s="292">
        <v>5</v>
      </c>
      <c r="C19" s="314" t="s">
        <v>335</v>
      </c>
      <c r="D19" s="314" t="s">
        <v>337</v>
      </c>
      <c r="E19" s="90">
        <v>3</v>
      </c>
      <c r="F19" s="312" t="s">
        <v>95</v>
      </c>
      <c r="G19" s="328">
        <f>VLOOKUP(A19,'2.2.Evaluación MGGTI'!$A$6:$F$207,6,0)</f>
        <v>1</v>
      </c>
      <c r="H19" s="107"/>
      <c r="I19" s="110">
        <f t="shared" si="1"/>
        <v>1</v>
      </c>
      <c r="J19" s="107"/>
      <c r="K19" s="107"/>
      <c r="L19" s="108"/>
      <c r="M19" s="109"/>
      <c r="N19" s="107"/>
      <c r="O19" s="107"/>
      <c r="P19" s="107"/>
      <c r="Q19" s="108"/>
      <c r="R19" s="109"/>
      <c r="S19" s="107"/>
      <c r="T19" s="107"/>
      <c r="U19" s="108"/>
      <c r="V19" s="100"/>
      <c r="W19" s="101"/>
      <c r="X19" s="101"/>
      <c r="Y19" s="102"/>
      <c r="Z19" s="159"/>
      <c r="AA19" s="149"/>
      <c r="AB19" s="149"/>
      <c r="AC19" s="155"/>
      <c r="AD19" s="149"/>
      <c r="AE19" s="149"/>
      <c r="AF19" s="155"/>
    </row>
    <row r="20" spans="1:32" customFormat="1" ht="99.95" customHeight="1" x14ac:dyDescent="0.25">
      <c r="A20" s="93">
        <v>14</v>
      </c>
      <c r="B20" s="292">
        <v>5</v>
      </c>
      <c r="C20" s="314" t="s">
        <v>335</v>
      </c>
      <c r="D20" s="314" t="s">
        <v>338</v>
      </c>
      <c r="E20" s="90">
        <v>4</v>
      </c>
      <c r="F20" s="312" t="s">
        <v>95</v>
      </c>
      <c r="G20" s="328">
        <f>VLOOKUP(A20,'2.2.Evaluación MGGTI'!$A$6:$F$207,6,0)</f>
        <v>1</v>
      </c>
      <c r="H20" s="107"/>
      <c r="I20" s="110">
        <f t="shared" si="1"/>
        <v>1</v>
      </c>
      <c r="J20" s="107"/>
      <c r="K20" s="107"/>
      <c r="L20" s="108"/>
      <c r="M20" s="109"/>
      <c r="N20" s="107"/>
      <c r="O20" s="107"/>
      <c r="P20" s="107"/>
      <c r="Q20" s="108"/>
      <c r="R20" s="109"/>
      <c r="S20" s="107"/>
      <c r="T20" s="107"/>
      <c r="U20" s="108"/>
      <c r="V20" s="100"/>
      <c r="W20" s="101"/>
      <c r="X20" s="101"/>
      <c r="Y20" s="102"/>
      <c r="Z20" s="159"/>
      <c r="AA20" s="149"/>
      <c r="AB20" s="149"/>
      <c r="AC20" s="155"/>
      <c r="AD20" s="149"/>
      <c r="AE20" s="149"/>
      <c r="AF20" s="155"/>
    </row>
    <row r="21" spans="1:32" customFormat="1" ht="99.95" customHeight="1" x14ac:dyDescent="0.25">
      <c r="A21" s="93">
        <v>15</v>
      </c>
      <c r="B21" s="292">
        <v>5</v>
      </c>
      <c r="C21" s="314" t="s">
        <v>335</v>
      </c>
      <c r="D21" s="314" t="s">
        <v>339</v>
      </c>
      <c r="E21" s="90">
        <v>5</v>
      </c>
      <c r="F21" s="312" t="s">
        <v>95</v>
      </c>
      <c r="G21" s="328">
        <f>VLOOKUP(A21,'2.2.Evaluación MGGTI'!$A$6:$F$207,6,0)</f>
        <v>1</v>
      </c>
      <c r="H21" s="107"/>
      <c r="I21" s="110">
        <f t="shared" si="1"/>
        <v>1</v>
      </c>
      <c r="J21" s="107"/>
      <c r="K21" s="107"/>
      <c r="L21" s="108"/>
      <c r="M21" s="109"/>
      <c r="N21" s="107"/>
      <c r="O21" s="107"/>
      <c r="P21" s="107"/>
      <c r="Q21" s="108"/>
      <c r="R21" s="109"/>
      <c r="S21" s="107"/>
      <c r="T21" s="107"/>
      <c r="U21" s="108"/>
      <c r="V21" s="100"/>
      <c r="W21" s="101"/>
      <c r="X21" s="101"/>
      <c r="Y21" s="102"/>
      <c r="Z21" s="159"/>
      <c r="AA21" s="149"/>
      <c r="AB21" s="149"/>
      <c r="AC21" s="155"/>
      <c r="AD21" s="149"/>
      <c r="AE21" s="149"/>
      <c r="AF21" s="155"/>
    </row>
    <row r="22" spans="1:32" customFormat="1" ht="99.95" customHeight="1" x14ac:dyDescent="0.25">
      <c r="A22" s="93">
        <v>16</v>
      </c>
      <c r="B22" s="292">
        <v>6</v>
      </c>
      <c r="C22" s="314" t="s">
        <v>340</v>
      </c>
      <c r="D22" s="314" t="s">
        <v>341</v>
      </c>
      <c r="E22" s="90">
        <v>2</v>
      </c>
      <c r="F22" s="312" t="s">
        <v>95</v>
      </c>
      <c r="G22" s="328">
        <f>VLOOKUP(A22,'2.2.Evaluación MGGTI'!$A$6:$F$207,6,0)</f>
        <v>1</v>
      </c>
      <c r="H22" s="107"/>
      <c r="I22" s="110">
        <f t="shared" si="1"/>
        <v>1</v>
      </c>
      <c r="J22" s="107"/>
      <c r="K22" s="107"/>
      <c r="L22" s="108"/>
      <c r="M22" s="109"/>
      <c r="N22" s="107"/>
      <c r="O22" s="107"/>
      <c r="P22" s="107"/>
      <c r="Q22" s="108"/>
      <c r="R22" s="109"/>
      <c r="S22" s="107"/>
      <c r="T22" s="107"/>
      <c r="U22" s="108"/>
      <c r="V22" s="100"/>
      <c r="W22" s="101"/>
      <c r="X22" s="101"/>
      <c r="Y22" s="102"/>
      <c r="Z22" s="159"/>
      <c r="AA22" s="149"/>
      <c r="AB22" s="149"/>
      <c r="AC22" s="155"/>
      <c r="AD22" s="149"/>
      <c r="AE22" s="149"/>
      <c r="AF22" s="155"/>
    </row>
    <row r="23" spans="1:32" customFormat="1" ht="99.95" customHeight="1" x14ac:dyDescent="0.25">
      <c r="A23" s="93">
        <v>17</v>
      </c>
      <c r="B23" s="292">
        <v>6</v>
      </c>
      <c r="C23" s="314" t="s">
        <v>340</v>
      </c>
      <c r="D23" s="314" t="s">
        <v>342</v>
      </c>
      <c r="E23" s="90">
        <v>3</v>
      </c>
      <c r="F23" s="312" t="s">
        <v>95</v>
      </c>
      <c r="G23" s="328">
        <f>VLOOKUP(A23,'2.2.Evaluación MGGTI'!$A$6:$F$207,6,0)</f>
        <v>1</v>
      </c>
      <c r="H23" s="107"/>
      <c r="I23" s="110">
        <f t="shared" si="1"/>
        <v>1</v>
      </c>
      <c r="J23" s="107"/>
      <c r="K23" s="107"/>
      <c r="L23" s="108"/>
      <c r="M23" s="109"/>
      <c r="N23" s="107"/>
      <c r="O23" s="107"/>
      <c r="P23" s="107"/>
      <c r="Q23" s="108"/>
      <c r="R23" s="109"/>
      <c r="S23" s="107"/>
      <c r="T23" s="107"/>
      <c r="U23" s="108"/>
      <c r="V23" s="100"/>
      <c r="W23" s="101"/>
      <c r="X23" s="101"/>
      <c r="Y23" s="102"/>
      <c r="Z23" s="159"/>
      <c r="AA23" s="149"/>
      <c r="AB23" s="149"/>
      <c r="AC23" s="155"/>
      <c r="AD23" s="149"/>
      <c r="AE23" s="149"/>
      <c r="AF23" s="155"/>
    </row>
    <row r="24" spans="1:32" customFormat="1" ht="99.95" customHeight="1" x14ac:dyDescent="0.25">
      <c r="A24" s="93">
        <v>18</v>
      </c>
      <c r="B24" s="292">
        <v>6</v>
      </c>
      <c r="C24" s="314" t="s">
        <v>340</v>
      </c>
      <c r="D24" s="314" t="s">
        <v>343</v>
      </c>
      <c r="E24" s="90">
        <v>4</v>
      </c>
      <c r="F24" s="312" t="s">
        <v>95</v>
      </c>
      <c r="G24" s="328">
        <f>VLOOKUP(A24,'2.2.Evaluación MGGTI'!$A$6:$F$207,6,0)</f>
        <v>1</v>
      </c>
      <c r="H24" s="107"/>
      <c r="I24" s="110">
        <f t="shared" si="1"/>
        <v>1</v>
      </c>
      <c r="J24" s="107"/>
      <c r="K24" s="107"/>
      <c r="L24" s="108"/>
      <c r="M24" s="109"/>
      <c r="N24" s="107"/>
      <c r="O24" s="107"/>
      <c r="P24" s="107"/>
      <c r="Q24" s="108"/>
      <c r="R24" s="109"/>
      <c r="S24" s="107"/>
      <c r="T24" s="107"/>
      <c r="U24" s="108"/>
      <c r="V24" s="100"/>
      <c r="W24" s="101"/>
      <c r="X24" s="101"/>
      <c r="Y24" s="102"/>
      <c r="Z24" s="159"/>
      <c r="AA24" s="149"/>
      <c r="AB24" s="149"/>
      <c r="AC24" s="155"/>
      <c r="AD24" s="149"/>
      <c r="AE24" s="149"/>
      <c r="AF24" s="155"/>
    </row>
    <row r="25" spans="1:32" customFormat="1" ht="99.95" customHeight="1" x14ac:dyDescent="0.25">
      <c r="A25" s="93">
        <v>19</v>
      </c>
      <c r="B25" s="292">
        <v>6</v>
      </c>
      <c r="C25" s="314" t="s">
        <v>340</v>
      </c>
      <c r="D25" s="314" t="s">
        <v>344</v>
      </c>
      <c r="E25" s="90">
        <v>5</v>
      </c>
      <c r="F25" s="312" t="s">
        <v>95</v>
      </c>
      <c r="G25" s="328">
        <f>VLOOKUP(A25,'2.2.Evaluación MGGTI'!$A$6:$F$207,6,0)</f>
        <v>1</v>
      </c>
      <c r="H25" s="107"/>
      <c r="I25" s="110">
        <f t="shared" si="1"/>
        <v>1</v>
      </c>
      <c r="J25" s="107"/>
      <c r="K25" s="107"/>
      <c r="L25" s="108"/>
      <c r="M25" s="109"/>
      <c r="N25" s="107"/>
      <c r="O25" s="107"/>
      <c r="P25" s="107"/>
      <c r="Q25" s="108"/>
      <c r="R25" s="109"/>
      <c r="S25" s="107"/>
      <c r="T25" s="107"/>
      <c r="U25" s="108"/>
      <c r="V25" s="100"/>
      <c r="W25" s="101"/>
      <c r="X25" s="101"/>
      <c r="Y25" s="102"/>
      <c r="Z25" s="159"/>
      <c r="AA25" s="149"/>
      <c r="AB25" s="149"/>
      <c r="AC25" s="155"/>
      <c r="AD25" s="149"/>
      <c r="AE25" s="149"/>
      <c r="AF25" s="155"/>
    </row>
    <row r="26" spans="1:32" customFormat="1" ht="99.95" customHeight="1" x14ac:dyDescent="0.25">
      <c r="A26" s="93">
        <v>20</v>
      </c>
      <c r="B26" s="292">
        <v>7</v>
      </c>
      <c r="C26" s="314" t="s">
        <v>345</v>
      </c>
      <c r="D26" s="314" t="s">
        <v>346</v>
      </c>
      <c r="E26" s="90">
        <v>2</v>
      </c>
      <c r="F26" s="312" t="s">
        <v>347</v>
      </c>
      <c r="G26" s="328">
        <f>VLOOKUP(A26,'2.2.Evaluación MGGTI'!$A$6:$F$207,6,0)</f>
        <v>1</v>
      </c>
      <c r="H26" s="107"/>
      <c r="I26" s="107"/>
      <c r="J26" s="107"/>
      <c r="K26" s="107"/>
      <c r="L26" s="111">
        <f t="shared" ref="L26:L35" si="2">G26</f>
        <v>1</v>
      </c>
      <c r="M26" s="109"/>
      <c r="N26" s="107"/>
      <c r="O26" s="107"/>
      <c r="P26" s="107"/>
      <c r="Q26" s="111">
        <f>G26</f>
        <v>1</v>
      </c>
      <c r="R26" s="109"/>
      <c r="S26" s="107"/>
      <c r="T26" s="107"/>
      <c r="U26" s="108"/>
      <c r="V26" s="100"/>
      <c r="W26" s="101"/>
      <c r="X26" s="101"/>
      <c r="Y26" s="102"/>
      <c r="Z26" s="159"/>
      <c r="AA26" s="149"/>
      <c r="AB26" s="149"/>
      <c r="AC26" s="155"/>
      <c r="AD26" s="149"/>
      <c r="AE26" s="149"/>
      <c r="AF26" s="155"/>
    </row>
    <row r="27" spans="1:32" customFormat="1" ht="99.95" customHeight="1" x14ac:dyDescent="0.25">
      <c r="A27" s="93">
        <v>21</v>
      </c>
      <c r="B27" s="292">
        <v>7</v>
      </c>
      <c r="C27" s="314" t="s">
        <v>345</v>
      </c>
      <c r="D27" s="314" t="s">
        <v>348</v>
      </c>
      <c r="E27" s="90">
        <v>3</v>
      </c>
      <c r="F27" s="312" t="s">
        <v>347</v>
      </c>
      <c r="G27" s="328">
        <f>VLOOKUP(A27,'2.2.Evaluación MGGTI'!$A$6:$F$207,6,0)</f>
        <v>1</v>
      </c>
      <c r="H27" s="107"/>
      <c r="I27" s="107"/>
      <c r="J27" s="107"/>
      <c r="K27" s="107"/>
      <c r="L27" s="111">
        <f t="shared" si="2"/>
        <v>1</v>
      </c>
      <c r="M27" s="109"/>
      <c r="N27" s="107"/>
      <c r="O27" s="107"/>
      <c r="P27" s="107"/>
      <c r="Q27" s="111">
        <f>G27</f>
        <v>1</v>
      </c>
      <c r="R27" s="109"/>
      <c r="S27" s="107"/>
      <c r="T27" s="107"/>
      <c r="U27" s="108"/>
      <c r="V27" s="100"/>
      <c r="W27" s="101"/>
      <c r="X27" s="101"/>
      <c r="Y27" s="102"/>
      <c r="Z27" s="159"/>
      <c r="AA27" s="149"/>
      <c r="AB27" s="149"/>
      <c r="AC27" s="155"/>
      <c r="AD27" s="149"/>
      <c r="AE27" s="149"/>
      <c r="AF27" s="155"/>
    </row>
    <row r="28" spans="1:32" customFormat="1" ht="99.95" customHeight="1" x14ac:dyDescent="0.25">
      <c r="A28" s="93">
        <v>22</v>
      </c>
      <c r="B28" s="292">
        <v>7</v>
      </c>
      <c r="C28" s="314" t="s">
        <v>345</v>
      </c>
      <c r="D28" s="314" t="s">
        <v>349</v>
      </c>
      <c r="E28" s="90">
        <v>4</v>
      </c>
      <c r="F28" s="312" t="s">
        <v>347</v>
      </c>
      <c r="G28" s="328">
        <f>VLOOKUP(A28,'2.2.Evaluación MGGTI'!$A$6:$F$207,6,0)</f>
        <v>1</v>
      </c>
      <c r="H28" s="107"/>
      <c r="I28" s="107"/>
      <c r="J28" s="107"/>
      <c r="K28" s="107"/>
      <c r="L28" s="111">
        <f t="shared" si="2"/>
        <v>1</v>
      </c>
      <c r="M28" s="109"/>
      <c r="N28" s="107"/>
      <c r="O28" s="107"/>
      <c r="P28" s="107"/>
      <c r="Q28" s="111">
        <f>G28</f>
        <v>1</v>
      </c>
      <c r="R28" s="109"/>
      <c r="S28" s="107"/>
      <c r="T28" s="107"/>
      <c r="U28" s="108"/>
      <c r="V28" s="100"/>
      <c r="W28" s="101"/>
      <c r="X28" s="101"/>
      <c r="Y28" s="102"/>
      <c r="Z28" s="159"/>
      <c r="AA28" s="149"/>
      <c r="AB28" s="149"/>
      <c r="AC28" s="155"/>
      <c r="AD28" s="149"/>
      <c r="AE28" s="149"/>
      <c r="AF28" s="155"/>
    </row>
    <row r="29" spans="1:32" customFormat="1" ht="99.95" customHeight="1" x14ac:dyDescent="0.25">
      <c r="A29" s="93">
        <v>23</v>
      </c>
      <c r="B29" s="292">
        <v>7</v>
      </c>
      <c r="C29" s="314" t="s">
        <v>345</v>
      </c>
      <c r="D29" s="314" t="s">
        <v>350</v>
      </c>
      <c r="E29" s="90">
        <v>5</v>
      </c>
      <c r="F29" s="312" t="s">
        <v>347</v>
      </c>
      <c r="G29" s="328">
        <f>VLOOKUP(A29,'2.2.Evaluación MGGTI'!$A$6:$F$207,6,0)</f>
        <v>1</v>
      </c>
      <c r="H29" s="107"/>
      <c r="I29" s="107"/>
      <c r="J29" s="107"/>
      <c r="K29" s="107"/>
      <c r="L29" s="111">
        <f t="shared" si="2"/>
        <v>1</v>
      </c>
      <c r="M29" s="109"/>
      <c r="N29" s="107"/>
      <c r="O29" s="107"/>
      <c r="P29" s="107"/>
      <c r="Q29" s="111">
        <f>G29</f>
        <v>1</v>
      </c>
      <c r="R29" s="109"/>
      <c r="S29" s="107"/>
      <c r="T29" s="107"/>
      <c r="U29" s="108"/>
      <c r="V29" s="100"/>
      <c r="W29" s="101"/>
      <c r="X29" s="101"/>
      <c r="Y29" s="102"/>
      <c r="Z29" s="159"/>
      <c r="AA29" s="149"/>
      <c r="AB29" s="149"/>
      <c r="AC29" s="155"/>
      <c r="AD29" s="149"/>
      <c r="AE29" s="149"/>
      <c r="AF29" s="155"/>
    </row>
    <row r="30" spans="1:32" customFormat="1" ht="99.95" customHeight="1" x14ac:dyDescent="0.25">
      <c r="A30" s="93">
        <v>24</v>
      </c>
      <c r="B30" s="292">
        <v>8</v>
      </c>
      <c r="C30" s="314" t="s">
        <v>351</v>
      </c>
      <c r="D30" s="314" t="s">
        <v>352</v>
      </c>
      <c r="E30" s="90">
        <v>2</v>
      </c>
      <c r="F30" s="312" t="s">
        <v>95</v>
      </c>
      <c r="G30" s="328">
        <f>VLOOKUP(A30,'2.2.Evaluación MGGTI'!$A$6:$F$207,6,0)</f>
        <v>1</v>
      </c>
      <c r="H30" s="107"/>
      <c r="I30" s="107"/>
      <c r="J30" s="107"/>
      <c r="K30" s="107"/>
      <c r="L30" s="111">
        <f t="shared" si="2"/>
        <v>1</v>
      </c>
      <c r="M30" s="109"/>
      <c r="N30" s="107"/>
      <c r="O30" s="107"/>
      <c r="P30" s="107"/>
      <c r="Q30" s="108"/>
      <c r="R30" s="109"/>
      <c r="S30" s="107"/>
      <c r="T30" s="107"/>
      <c r="U30" s="108"/>
      <c r="V30" s="100"/>
      <c r="W30" s="101"/>
      <c r="X30" s="101"/>
      <c r="Y30" s="102"/>
      <c r="Z30" s="159"/>
      <c r="AA30" s="149"/>
      <c r="AB30" s="149"/>
      <c r="AC30" s="155"/>
      <c r="AD30" s="149"/>
      <c r="AE30" s="149"/>
      <c r="AF30" s="155"/>
    </row>
    <row r="31" spans="1:32" customFormat="1" ht="99.95" customHeight="1" x14ac:dyDescent="0.25">
      <c r="A31" s="93">
        <v>25</v>
      </c>
      <c r="B31" s="292">
        <v>8</v>
      </c>
      <c r="C31" s="314" t="s">
        <v>351</v>
      </c>
      <c r="D31" s="314" t="s">
        <v>353</v>
      </c>
      <c r="E31" s="90">
        <v>2</v>
      </c>
      <c r="F31" s="312" t="s">
        <v>95</v>
      </c>
      <c r="G31" s="328">
        <f>VLOOKUP(A31,'2.2.Evaluación MGGTI'!$A$6:$F$207,6,0)</f>
        <v>1</v>
      </c>
      <c r="H31" s="107"/>
      <c r="I31" s="107"/>
      <c r="J31" s="107"/>
      <c r="K31" s="107"/>
      <c r="L31" s="111">
        <f t="shared" si="2"/>
        <v>1</v>
      </c>
      <c r="M31" s="109"/>
      <c r="N31" s="107"/>
      <c r="O31" s="107"/>
      <c r="P31" s="107"/>
      <c r="Q31" s="108"/>
      <c r="R31" s="109"/>
      <c r="S31" s="107"/>
      <c r="T31" s="107"/>
      <c r="U31" s="108"/>
      <c r="V31" s="100"/>
      <c r="W31" s="101"/>
      <c r="X31" s="101"/>
      <c r="Y31" s="102"/>
      <c r="Z31" s="159"/>
      <c r="AA31" s="149"/>
      <c r="AB31" s="149"/>
      <c r="AC31" s="155"/>
      <c r="AD31" s="149"/>
      <c r="AE31" s="149"/>
      <c r="AF31" s="155"/>
    </row>
    <row r="32" spans="1:32" customFormat="1" ht="99.95" customHeight="1" x14ac:dyDescent="0.25">
      <c r="A32" s="93">
        <v>26</v>
      </c>
      <c r="B32" s="292">
        <v>8</v>
      </c>
      <c r="C32" s="314" t="s">
        <v>351</v>
      </c>
      <c r="D32" s="312" t="s">
        <v>354</v>
      </c>
      <c r="E32" s="90">
        <v>3</v>
      </c>
      <c r="F32" s="312" t="s">
        <v>95</v>
      </c>
      <c r="G32" s="328">
        <f>VLOOKUP(A32,'2.2.Evaluación MGGTI'!$A$6:$F$207,6,0)</f>
        <v>1</v>
      </c>
      <c r="H32" s="107"/>
      <c r="I32" s="107"/>
      <c r="J32" s="107"/>
      <c r="K32" s="107"/>
      <c r="L32" s="111">
        <f t="shared" si="2"/>
        <v>1</v>
      </c>
      <c r="M32" s="109"/>
      <c r="N32" s="107"/>
      <c r="O32" s="107"/>
      <c r="P32" s="107"/>
      <c r="Q32" s="108"/>
      <c r="R32" s="109"/>
      <c r="S32" s="107"/>
      <c r="T32" s="107"/>
      <c r="U32" s="108"/>
      <c r="V32" s="100"/>
      <c r="W32" s="101"/>
      <c r="X32" s="101"/>
      <c r="Y32" s="102"/>
      <c r="Z32" s="159"/>
      <c r="AA32" s="149"/>
      <c r="AB32" s="149"/>
      <c r="AC32" s="155"/>
      <c r="AD32" s="149"/>
      <c r="AE32" s="149"/>
      <c r="AF32" s="155"/>
    </row>
    <row r="33" spans="1:32" customFormat="1" ht="99.95" customHeight="1" x14ac:dyDescent="0.25">
      <c r="A33" s="93">
        <v>27</v>
      </c>
      <c r="B33" s="292">
        <v>9</v>
      </c>
      <c r="C33" s="314" t="s">
        <v>355</v>
      </c>
      <c r="D33" s="314" t="s">
        <v>356</v>
      </c>
      <c r="E33" s="90">
        <v>3</v>
      </c>
      <c r="F33" s="312" t="s">
        <v>95</v>
      </c>
      <c r="G33" s="328">
        <f>VLOOKUP(A33,'2.2.Evaluación MGGTI'!$A$6:$F$207,6,0)</f>
        <v>1</v>
      </c>
      <c r="H33" s="107"/>
      <c r="I33" s="107"/>
      <c r="J33" s="107"/>
      <c r="K33" s="107"/>
      <c r="L33" s="111">
        <f t="shared" si="2"/>
        <v>1</v>
      </c>
      <c r="M33" s="109"/>
      <c r="N33" s="107"/>
      <c r="O33" s="107"/>
      <c r="P33" s="107"/>
      <c r="Q33" s="108"/>
      <c r="R33" s="109"/>
      <c r="S33" s="107"/>
      <c r="T33" s="107"/>
      <c r="U33" s="108"/>
      <c r="V33" s="100"/>
      <c r="W33" s="101"/>
      <c r="X33" s="101"/>
      <c r="Y33" s="102"/>
      <c r="Z33" s="159"/>
      <c r="AA33" s="149"/>
      <c r="AB33" s="149"/>
      <c r="AC33" s="155"/>
      <c r="AD33" s="149"/>
      <c r="AE33" s="149"/>
      <c r="AF33" s="155"/>
    </row>
    <row r="34" spans="1:32" customFormat="1" ht="99.95" customHeight="1" x14ac:dyDescent="0.25">
      <c r="A34" s="93">
        <v>28</v>
      </c>
      <c r="B34" s="292">
        <v>9</v>
      </c>
      <c r="C34" s="314" t="s">
        <v>355</v>
      </c>
      <c r="D34" s="314" t="s">
        <v>357</v>
      </c>
      <c r="E34" s="90">
        <v>4</v>
      </c>
      <c r="F34" s="312" t="s">
        <v>95</v>
      </c>
      <c r="G34" s="328">
        <f>VLOOKUP(A34,'2.2.Evaluación MGGTI'!$A$6:$F$207,6,0)</f>
        <v>1</v>
      </c>
      <c r="H34" s="107"/>
      <c r="I34" s="107"/>
      <c r="J34" s="107"/>
      <c r="K34" s="107"/>
      <c r="L34" s="111">
        <f t="shared" si="2"/>
        <v>1</v>
      </c>
      <c r="M34" s="109"/>
      <c r="N34" s="107"/>
      <c r="O34" s="107"/>
      <c r="P34" s="107"/>
      <c r="Q34" s="108"/>
      <c r="R34" s="109"/>
      <c r="S34" s="107"/>
      <c r="T34" s="107"/>
      <c r="U34" s="108"/>
      <c r="V34" s="100"/>
      <c r="W34" s="101"/>
      <c r="X34" s="101"/>
      <c r="Y34" s="102"/>
      <c r="Z34" s="159"/>
      <c r="AA34" s="149"/>
      <c r="AB34" s="149"/>
      <c r="AC34" s="155"/>
      <c r="AD34" s="149"/>
      <c r="AE34" s="149"/>
      <c r="AF34" s="155"/>
    </row>
    <row r="35" spans="1:32" customFormat="1" ht="99.95" customHeight="1" x14ac:dyDescent="0.25">
      <c r="A35" s="93">
        <v>29</v>
      </c>
      <c r="B35" s="292">
        <v>9</v>
      </c>
      <c r="C35" s="314" t="s">
        <v>355</v>
      </c>
      <c r="D35" s="314" t="s">
        <v>358</v>
      </c>
      <c r="E35" s="90">
        <v>5</v>
      </c>
      <c r="F35" s="312" t="s">
        <v>95</v>
      </c>
      <c r="G35" s="328">
        <f>VLOOKUP(A35,'2.2.Evaluación MGGTI'!$A$6:$F$207,6,0)</f>
        <v>1</v>
      </c>
      <c r="H35" s="107"/>
      <c r="I35" s="107"/>
      <c r="J35" s="107"/>
      <c r="K35" s="107"/>
      <c r="L35" s="111">
        <f t="shared" si="2"/>
        <v>1</v>
      </c>
      <c r="M35" s="109"/>
      <c r="N35" s="107"/>
      <c r="O35" s="107"/>
      <c r="P35" s="107"/>
      <c r="Q35" s="108"/>
      <c r="R35" s="109"/>
      <c r="S35" s="107"/>
      <c r="T35" s="107"/>
      <c r="U35" s="108"/>
      <c r="V35" s="100"/>
      <c r="W35" s="101"/>
      <c r="X35" s="101"/>
      <c r="Y35" s="102"/>
      <c r="Z35" s="159"/>
      <c r="AA35" s="149"/>
      <c r="AB35" s="149"/>
      <c r="AC35" s="155"/>
      <c r="AD35" s="149"/>
      <c r="AE35" s="149"/>
      <c r="AF35" s="155"/>
    </row>
    <row r="36" spans="1:32" customFormat="1" ht="99.95" customHeight="1" x14ac:dyDescent="0.25">
      <c r="A36" s="93">
        <v>30</v>
      </c>
      <c r="B36" s="292">
        <v>10</v>
      </c>
      <c r="C36" s="314" t="s">
        <v>359</v>
      </c>
      <c r="D36" s="314" t="s">
        <v>360</v>
      </c>
      <c r="E36" s="90">
        <v>3</v>
      </c>
      <c r="F36" s="312" t="s">
        <v>95</v>
      </c>
      <c r="G36" s="328">
        <f>VLOOKUP(A36,'2.2.Evaluación MGGTI'!$A$6:$F$207,6,0)</f>
        <v>1</v>
      </c>
      <c r="H36" s="110">
        <f t="shared" ref="H36:H44" si="3">G36</f>
        <v>1</v>
      </c>
      <c r="I36" s="107"/>
      <c r="J36" s="107"/>
      <c r="K36" s="107"/>
      <c r="L36" s="108"/>
      <c r="M36" s="109"/>
      <c r="N36" s="107"/>
      <c r="O36" s="107"/>
      <c r="P36" s="107"/>
      <c r="Q36" s="108"/>
      <c r="R36" s="109"/>
      <c r="S36" s="107"/>
      <c r="T36" s="107"/>
      <c r="U36" s="108"/>
      <c r="V36" s="100"/>
      <c r="W36" s="101"/>
      <c r="X36" s="101"/>
      <c r="Y36" s="102"/>
      <c r="Z36" s="159"/>
      <c r="AA36" s="149"/>
      <c r="AB36" s="149"/>
      <c r="AC36" s="155"/>
      <c r="AD36" s="149"/>
      <c r="AE36" s="149"/>
      <c r="AF36" s="155"/>
    </row>
    <row r="37" spans="1:32" customFormat="1" ht="99.95" customHeight="1" x14ac:dyDescent="0.25">
      <c r="A37" s="93">
        <v>31</v>
      </c>
      <c r="B37" s="292">
        <v>10</v>
      </c>
      <c r="C37" s="314" t="s">
        <v>359</v>
      </c>
      <c r="D37" s="314" t="s">
        <v>361</v>
      </c>
      <c r="E37" s="90">
        <v>3</v>
      </c>
      <c r="F37" s="312" t="s">
        <v>95</v>
      </c>
      <c r="G37" s="328">
        <f>VLOOKUP(A37,'2.2.Evaluación MGGTI'!$A$6:$F$207,6,0)</f>
        <v>1</v>
      </c>
      <c r="H37" s="110">
        <f t="shared" si="3"/>
        <v>1</v>
      </c>
      <c r="I37" s="107"/>
      <c r="J37" s="107"/>
      <c r="K37" s="107"/>
      <c r="L37" s="108"/>
      <c r="M37" s="109"/>
      <c r="N37" s="107"/>
      <c r="O37" s="107"/>
      <c r="P37" s="107"/>
      <c r="Q37" s="108"/>
      <c r="R37" s="109"/>
      <c r="S37" s="107"/>
      <c r="T37" s="107"/>
      <c r="U37" s="108"/>
      <c r="V37" s="100"/>
      <c r="W37" s="101"/>
      <c r="X37" s="101"/>
      <c r="Y37" s="102"/>
      <c r="Z37" s="159"/>
      <c r="AA37" s="149"/>
      <c r="AB37" s="149"/>
      <c r="AC37" s="155"/>
      <c r="AD37" s="149"/>
      <c r="AE37" s="149"/>
      <c r="AF37" s="155"/>
    </row>
    <row r="38" spans="1:32" customFormat="1" ht="99.95" customHeight="1" x14ac:dyDescent="0.25">
      <c r="A38" s="93">
        <v>32</v>
      </c>
      <c r="B38" s="292">
        <v>10</v>
      </c>
      <c r="C38" s="314" t="s">
        <v>359</v>
      </c>
      <c r="D38" s="314" t="s">
        <v>362</v>
      </c>
      <c r="E38" s="90">
        <v>4</v>
      </c>
      <c r="F38" s="312" t="s">
        <v>95</v>
      </c>
      <c r="G38" s="328">
        <f>VLOOKUP(A38,'2.2.Evaluación MGGTI'!$A$6:$F$207,6,0)</f>
        <v>1</v>
      </c>
      <c r="H38" s="110">
        <f t="shared" si="3"/>
        <v>1</v>
      </c>
      <c r="I38" s="107"/>
      <c r="J38" s="107"/>
      <c r="K38" s="107"/>
      <c r="L38" s="108"/>
      <c r="M38" s="100"/>
      <c r="N38" s="107"/>
      <c r="O38" s="107"/>
      <c r="P38" s="107"/>
      <c r="Q38" s="108"/>
      <c r="R38" s="109"/>
      <c r="S38" s="107"/>
      <c r="T38" s="107"/>
      <c r="U38" s="108"/>
      <c r="V38" s="100"/>
      <c r="W38" s="101"/>
      <c r="X38" s="101"/>
      <c r="Y38" s="102"/>
      <c r="Z38" s="159"/>
      <c r="AA38" s="149"/>
      <c r="AB38" s="149"/>
      <c r="AC38" s="155"/>
      <c r="AD38" s="149"/>
      <c r="AE38" s="149"/>
      <c r="AF38" s="155"/>
    </row>
    <row r="39" spans="1:32" customFormat="1" ht="99.95" customHeight="1" x14ac:dyDescent="0.25">
      <c r="A39" s="93">
        <v>33</v>
      </c>
      <c r="B39" s="292">
        <v>11</v>
      </c>
      <c r="C39" s="314" t="s">
        <v>363</v>
      </c>
      <c r="D39" s="314" t="s">
        <v>364</v>
      </c>
      <c r="E39" s="90">
        <v>3</v>
      </c>
      <c r="F39" s="312" t="s">
        <v>347</v>
      </c>
      <c r="G39" s="328">
        <f>VLOOKUP(A39,'2.2.Evaluación MGGTI'!$A$6:$F$207,6,0)</f>
        <v>1</v>
      </c>
      <c r="H39" s="110">
        <f t="shared" si="3"/>
        <v>1</v>
      </c>
      <c r="I39" s="107"/>
      <c r="J39" s="107"/>
      <c r="K39" s="107"/>
      <c r="L39" s="108"/>
      <c r="M39" s="109"/>
      <c r="N39" s="107"/>
      <c r="O39" s="112">
        <f>G39</f>
        <v>1</v>
      </c>
      <c r="P39" s="107"/>
      <c r="Q39" s="108"/>
      <c r="R39" s="109"/>
      <c r="S39" s="107"/>
      <c r="T39" s="107"/>
      <c r="U39" s="108"/>
      <c r="V39" s="100"/>
      <c r="W39" s="101"/>
      <c r="X39" s="101"/>
      <c r="Y39" s="102"/>
      <c r="Z39" s="159"/>
      <c r="AA39" s="149"/>
      <c r="AB39" s="149"/>
      <c r="AC39" s="155"/>
      <c r="AD39" s="149"/>
      <c r="AE39" s="149"/>
      <c r="AF39" s="155"/>
    </row>
    <row r="40" spans="1:32" customFormat="1" ht="99.95" customHeight="1" x14ac:dyDescent="0.25">
      <c r="A40" s="93">
        <v>34</v>
      </c>
      <c r="B40" s="292">
        <v>11</v>
      </c>
      <c r="C40" s="314" t="s">
        <v>363</v>
      </c>
      <c r="D40" s="314" t="s">
        <v>365</v>
      </c>
      <c r="E40" s="90">
        <v>3</v>
      </c>
      <c r="F40" s="312" t="s">
        <v>347</v>
      </c>
      <c r="G40" s="328">
        <f>VLOOKUP(A40,'2.2.Evaluación MGGTI'!$A$6:$F$207,6,0)</f>
        <v>1</v>
      </c>
      <c r="H40" s="110">
        <f t="shared" si="3"/>
        <v>1</v>
      </c>
      <c r="I40" s="107"/>
      <c r="J40" s="107"/>
      <c r="K40" s="107"/>
      <c r="L40" s="108"/>
      <c r="M40" s="109"/>
      <c r="N40" s="107"/>
      <c r="O40" s="112">
        <f>G40</f>
        <v>1</v>
      </c>
      <c r="P40" s="107"/>
      <c r="Q40" s="108"/>
      <c r="R40" s="109"/>
      <c r="S40" s="107"/>
      <c r="T40" s="107"/>
      <c r="U40" s="108"/>
      <c r="V40" s="100"/>
      <c r="W40" s="101"/>
      <c r="X40" s="101"/>
      <c r="Y40" s="102"/>
      <c r="Z40" s="159"/>
      <c r="AA40" s="149"/>
      <c r="AB40" s="149"/>
      <c r="AC40" s="155"/>
      <c r="AD40" s="149"/>
      <c r="AE40" s="149"/>
      <c r="AF40" s="155"/>
    </row>
    <row r="41" spans="1:32" customFormat="1" ht="99.95" customHeight="1" x14ac:dyDescent="0.25">
      <c r="A41" s="93">
        <v>35</v>
      </c>
      <c r="B41" s="292">
        <v>11</v>
      </c>
      <c r="C41" s="314" t="s">
        <v>363</v>
      </c>
      <c r="D41" s="314" t="s">
        <v>366</v>
      </c>
      <c r="E41" s="90">
        <v>4</v>
      </c>
      <c r="F41" s="312" t="s">
        <v>95</v>
      </c>
      <c r="G41" s="328">
        <f>VLOOKUP(A41,'2.2.Evaluación MGGTI'!$A$6:$F$207,6,0)</f>
        <v>1</v>
      </c>
      <c r="H41" s="110">
        <f t="shared" si="3"/>
        <v>1</v>
      </c>
      <c r="I41" s="107"/>
      <c r="J41" s="107"/>
      <c r="K41" s="107"/>
      <c r="L41" s="108"/>
      <c r="M41" s="100"/>
      <c r="N41" s="107"/>
      <c r="O41" s="107"/>
      <c r="P41" s="107"/>
      <c r="Q41" s="108"/>
      <c r="R41" s="109"/>
      <c r="S41" s="107"/>
      <c r="T41" s="107"/>
      <c r="U41" s="108"/>
      <c r="V41" s="100"/>
      <c r="W41" s="101"/>
      <c r="X41" s="101"/>
      <c r="Y41" s="102"/>
      <c r="Z41" s="159"/>
      <c r="AA41" s="149"/>
      <c r="AB41" s="149"/>
      <c r="AC41" s="155"/>
      <c r="AD41" s="149"/>
      <c r="AE41" s="149"/>
      <c r="AF41" s="155"/>
    </row>
    <row r="42" spans="1:32" customFormat="1" ht="99.95" customHeight="1" x14ac:dyDescent="0.25">
      <c r="A42" s="93">
        <v>36</v>
      </c>
      <c r="B42" s="292">
        <v>12</v>
      </c>
      <c r="C42" s="314" t="s">
        <v>367</v>
      </c>
      <c r="D42" s="314" t="s">
        <v>368</v>
      </c>
      <c r="E42" s="90">
        <v>3</v>
      </c>
      <c r="F42" s="312" t="s">
        <v>347</v>
      </c>
      <c r="G42" s="328">
        <f>VLOOKUP(A42,'2.2.Evaluación MGGTI'!$A$6:$F$207,6,0)</f>
        <v>1</v>
      </c>
      <c r="H42" s="110">
        <f t="shared" si="3"/>
        <v>1</v>
      </c>
      <c r="I42" s="107"/>
      <c r="J42" s="107"/>
      <c r="K42" s="107"/>
      <c r="L42" s="108"/>
      <c r="M42" s="109"/>
      <c r="N42" s="107"/>
      <c r="O42" s="112">
        <f>G42</f>
        <v>1</v>
      </c>
      <c r="P42" s="107"/>
      <c r="Q42" s="108"/>
      <c r="R42" s="109"/>
      <c r="S42" s="107"/>
      <c r="T42" s="107"/>
      <c r="U42" s="108"/>
      <c r="V42" s="100"/>
      <c r="W42" s="101"/>
      <c r="X42" s="101"/>
      <c r="Y42" s="102"/>
      <c r="Z42" s="159"/>
      <c r="AA42" s="149"/>
      <c r="AB42" s="149"/>
      <c r="AC42" s="155"/>
      <c r="AD42" s="149"/>
      <c r="AE42" s="149"/>
      <c r="AF42" s="155"/>
    </row>
    <row r="43" spans="1:32" customFormat="1" ht="99.95" customHeight="1" x14ac:dyDescent="0.25">
      <c r="A43" s="93">
        <v>37</v>
      </c>
      <c r="B43" s="292">
        <v>12</v>
      </c>
      <c r="C43" s="314" t="s">
        <v>367</v>
      </c>
      <c r="D43" s="314" t="s">
        <v>369</v>
      </c>
      <c r="E43" s="90">
        <v>3</v>
      </c>
      <c r="F43" s="312" t="s">
        <v>347</v>
      </c>
      <c r="G43" s="328">
        <f>VLOOKUP(A43,'2.2.Evaluación MGGTI'!$A$6:$F$207,6,0)</f>
        <v>1</v>
      </c>
      <c r="H43" s="110">
        <f t="shared" si="3"/>
        <v>1</v>
      </c>
      <c r="I43" s="107"/>
      <c r="J43" s="107"/>
      <c r="K43" s="107"/>
      <c r="L43" s="108"/>
      <c r="M43" s="109"/>
      <c r="N43" s="107"/>
      <c r="O43" s="112">
        <f>G43</f>
        <v>1</v>
      </c>
      <c r="P43" s="107"/>
      <c r="Q43" s="108"/>
      <c r="R43" s="109"/>
      <c r="S43" s="107"/>
      <c r="T43" s="107"/>
      <c r="U43" s="108"/>
      <c r="V43" s="100"/>
      <c r="W43" s="101"/>
      <c r="X43" s="101"/>
      <c r="Y43" s="102"/>
      <c r="Z43" s="159"/>
      <c r="AA43" s="149"/>
      <c r="AB43" s="149"/>
      <c r="AC43" s="155"/>
      <c r="AD43" s="149"/>
      <c r="AE43" s="149"/>
      <c r="AF43" s="155"/>
    </row>
    <row r="44" spans="1:32" customFormat="1" ht="99.95" customHeight="1" x14ac:dyDescent="0.25">
      <c r="A44" s="93">
        <v>38</v>
      </c>
      <c r="B44" s="292">
        <v>12</v>
      </c>
      <c r="C44" s="314" t="s">
        <v>367</v>
      </c>
      <c r="D44" s="314" t="s">
        <v>362</v>
      </c>
      <c r="E44" s="90">
        <v>4</v>
      </c>
      <c r="F44" s="312" t="s">
        <v>95</v>
      </c>
      <c r="G44" s="328">
        <f>VLOOKUP(A44,'2.2.Evaluación MGGTI'!$A$6:$F$207,6,0)</f>
        <v>1</v>
      </c>
      <c r="H44" s="110">
        <f t="shared" si="3"/>
        <v>1</v>
      </c>
      <c r="I44" s="107"/>
      <c r="J44" s="107"/>
      <c r="K44" s="107"/>
      <c r="L44" s="108"/>
      <c r="M44" s="100"/>
      <c r="N44" s="107"/>
      <c r="O44" s="107"/>
      <c r="P44" s="107"/>
      <c r="Q44" s="108"/>
      <c r="R44" s="109"/>
      <c r="S44" s="107"/>
      <c r="T44" s="107"/>
      <c r="U44" s="108"/>
      <c r="V44" s="100"/>
      <c r="W44" s="101"/>
      <c r="X44" s="101"/>
      <c r="Y44" s="102"/>
      <c r="Z44" s="159"/>
      <c r="AA44" s="149"/>
      <c r="AB44" s="149"/>
      <c r="AC44" s="155"/>
      <c r="AD44" s="149"/>
      <c r="AE44" s="149"/>
      <c r="AF44" s="155"/>
    </row>
    <row r="45" spans="1:32" customFormat="1" ht="99.95" customHeight="1" x14ac:dyDescent="0.25">
      <c r="A45" s="93">
        <v>39</v>
      </c>
      <c r="B45" s="292">
        <v>13</v>
      </c>
      <c r="C45" s="314" t="s">
        <v>99</v>
      </c>
      <c r="D45" s="314" t="s">
        <v>370</v>
      </c>
      <c r="E45" s="90">
        <v>2</v>
      </c>
      <c r="F45" s="312" t="s">
        <v>95</v>
      </c>
      <c r="G45" s="328">
        <f>VLOOKUP(A45,'2.2.Evaluación MGGTI'!$A$6:$F$207,6,0)</f>
        <v>1</v>
      </c>
      <c r="H45" s="107"/>
      <c r="I45" s="107"/>
      <c r="J45" s="107"/>
      <c r="K45" s="110">
        <f>G45</f>
        <v>1</v>
      </c>
      <c r="L45" s="108"/>
      <c r="M45" s="100"/>
      <c r="N45" s="107"/>
      <c r="O45" s="107"/>
      <c r="P45" s="107"/>
      <c r="Q45" s="108"/>
      <c r="R45" s="109"/>
      <c r="S45" s="107"/>
      <c r="T45" s="107"/>
      <c r="U45" s="108"/>
      <c r="V45" s="100"/>
      <c r="W45" s="101"/>
      <c r="X45" s="101"/>
      <c r="Y45" s="102"/>
      <c r="Z45" s="159"/>
      <c r="AA45" s="149"/>
      <c r="AB45" s="149"/>
      <c r="AC45" s="155"/>
      <c r="AD45" s="149"/>
      <c r="AE45" s="149"/>
      <c r="AF45" s="155"/>
    </row>
    <row r="46" spans="1:32" customFormat="1" ht="99.95" customHeight="1" x14ac:dyDescent="0.25">
      <c r="A46" s="93">
        <v>40</v>
      </c>
      <c r="B46" s="292">
        <v>13</v>
      </c>
      <c r="C46" s="314" t="s">
        <v>99</v>
      </c>
      <c r="D46" s="314" t="s">
        <v>371</v>
      </c>
      <c r="E46" s="90">
        <v>3</v>
      </c>
      <c r="F46" s="312" t="s">
        <v>95</v>
      </c>
      <c r="G46" s="328">
        <f>VLOOKUP(A46,'2.2.Evaluación MGGTI'!$A$6:$F$207,6,0)</f>
        <v>1</v>
      </c>
      <c r="H46" s="107"/>
      <c r="I46" s="107"/>
      <c r="J46" s="107"/>
      <c r="K46" s="110">
        <f>G46</f>
        <v>1</v>
      </c>
      <c r="L46" s="108"/>
      <c r="M46" s="109"/>
      <c r="N46" s="107"/>
      <c r="O46" s="107"/>
      <c r="P46" s="107"/>
      <c r="Q46" s="108"/>
      <c r="R46" s="109"/>
      <c r="S46" s="107"/>
      <c r="T46" s="107"/>
      <c r="U46" s="108"/>
      <c r="V46" s="100"/>
      <c r="W46" s="101"/>
      <c r="X46" s="101"/>
      <c r="Y46" s="102"/>
      <c r="Z46" s="159"/>
      <c r="AA46" s="149"/>
      <c r="AB46" s="149"/>
      <c r="AC46" s="155"/>
      <c r="AD46" s="149"/>
      <c r="AE46" s="149"/>
      <c r="AF46" s="155"/>
    </row>
    <row r="47" spans="1:32" customFormat="1" ht="99.95" customHeight="1" x14ac:dyDescent="0.25">
      <c r="A47" s="93">
        <v>41</v>
      </c>
      <c r="B47" s="292">
        <v>13</v>
      </c>
      <c r="C47" s="314" t="s">
        <v>99</v>
      </c>
      <c r="D47" s="314" t="s">
        <v>372</v>
      </c>
      <c r="E47" s="90">
        <v>4</v>
      </c>
      <c r="F47" s="312" t="s">
        <v>95</v>
      </c>
      <c r="G47" s="328">
        <f>VLOOKUP(A47,'2.2.Evaluación MGGTI'!$A$6:$F$207,6,0)</f>
        <v>1</v>
      </c>
      <c r="H47" s="107"/>
      <c r="I47" s="107"/>
      <c r="J47" s="107"/>
      <c r="K47" s="110">
        <f>G47</f>
        <v>1</v>
      </c>
      <c r="L47" s="108"/>
      <c r="M47" s="100"/>
      <c r="N47" s="107"/>
      <c r="O47" s="107"/>
      <c r="P47" s="107"/>
      <c r="Q47" s="108"/>
      <c r="R47" s="109"/>
      <c r="S47" s="107"/>
      <c r="T47" s="107"/>
      <c r="U47" s="108"/>
      <c r="V47" s="100"/>
      <c r="W47" s="101"/>
      <c r="X47" s="101"/>
      <c r="Y47" s="102"/>
      <c r="Z47" s="159"/>
      <c r="AA47" s="149"/>
      <c r="AB47" s="149"/>
      <c r="AC47" s="155"/>
      <c r="AD47" s="149"/>
      <c r="AE47" s="149"/>
      <c r="AF47" s="155"/>
    </row>
    <row r="48" spans="1:32" customFormat="1" ht="99.95" customHeight="1" x14ac:dyDescent="0.25">
      <c r="A48" s="93">
        <v>42</v>
      </c>
      <c r="B48" s="315">
        <v>14</v>
      </c>
      <c r="C48" s="314" t="s">
        <v>373</v>
      </c>
      <c r="D48" s="314" t="s">
        <v>374</v>
      </c>
      <c r="E48" s="90">
        <v>2</v>
      </c>
      <c r="F48" s="314" t="s">
        <v>107</v>
      </c>
      <c r="G48" s="328">
        <f>VLOOKUP(A48,'2.2.Evaluación MGGTI'!$A$6:$F$207,6,0)</f>
        <v>1</v>
      </c>
      <c r="H48" s="107"/>
      <c r="I48" s="107"/>
      <c r="J48" s="107"/>
      <c r="K48" s="107"/>
      <c r="L48" s="108"/>
      <c r="M48" s="106">
        <f>G48</f>
        <v>1</v>
      </c>
      <c r="N48" s="107"/>
      <c r="O48" s="107"/>
      <c r="P48" s="107"/>
      <c r="Q48" s="108"/>
      <c r="R48" s="109"/>
      <c r="S48" s="107"/>
      <c r="T48" s="107"/>
      <c r="U48" s="108"/>
      <c r="V48" s="100"/>
      <c r="W48" s="101"/>
      <c r="X48" s="101"/>
      <c r="Y48" s="102"/>
      <c r="Z48" s="159"/>
      <c r="AA48" s="149"/>
      <c r="AB48" s="149"/>
      <c r="AC48" s="155"/>
      <c r="AD48" s="149"/>
      <c r="AE48" s="149"/>
      <c r="AF48" s="155"/>
    </row>
    <row r="49" spans="1:32" customFormat="1" ht="99.95" customHeight="1" x14ac:dyDescent="0.25">
      <c r="A49" s="93">
        <v>43</v>
      </c>
      <c r="B49" s="315">
        <v>14</v>
      </c>
      <c r="C49" s="314" t="s">
        <v>373</v>
      </c>
      <c r="D49" s="314" t="s">
        <v>375</v>
      </c>
      <c r="E49" s="90">
        <v>3</v>
      </c>
      <c r="F49" s="314" t="s">
        <v>107</v>
      </c>
      <c r="G49" s="328">
        <f>VLOOKUP(A49,'2.2.Evaluación MGGTI'!$A$6:$F$207,6,0)</f>
        <v>1</v>
      </c>
      <c r="H49" s="107"/>
      <c r="I49" s="107"/>
      <c r="J49" s="107"/>
      <c r="K49" s="107"/>
      <c r="L49" s="108"/>
      <c r="M49" s="106">
        <f>G49</f>
        <v>1</v>
      </c>
      <c r="N49" s="107"/>
      <c r="O49" s="107"/>
      <c r="P49" s="107"/>
      <c r="Q49" s="108"/>
      <c r="R49" s="109"/>
      <c r="S49" s="107"/>
      <c r="T49" s="107"/>
      <c r="U49" s="108"/>
      <c r="V49" s="100"/>
      <c r="W49" s="101"/>
      <c r="X49" s="101"/>
      <c r="Y49" s="102"/>
      <c r="Z49" s="159"/>
      <c r="AA49" s="149"/>
      <c r="AB49" s="149"/>
      <c r="AC49" s="155"/>
      <c r="AD49" s="149"/>
      <c r="AE49" s="149"/>
      <c r="AF49" s="155"/>
    </row>
    <row r="50" spans="1:32" customFormat="1" ht="99.95" customHeight="1" x14ac:dyDescent="0.25">
      <c r="A50" s="93">
        <v>44</v>
      </c>
      <c r="B50" s="315">
        <v>14</v>
      </c>
      <c r="C50" s="314" t="s">
        <v>373</v>
      </c>
      <c r="D50" s="314" t="s">
        <v>376</v>
      </c>
      <c r="E50" s="90">
        <v>4</v>
      </c>
      <c r="F50" s="314" t="s">
        <v>107</v>
      </c>
      <c r="G50" s="328">
        <f>VLOOKUP(A50,'2.2.Evaluación MGGTI'!$A$6:$F$207,6,0)</f>
        <v>1</v>
      </c>
      <c r="H50" s="107"/>
      <c r="I50" s="107"/>
      <c r="J50" s="107"/>
      <c r="K50" s="107"/>
      <c r="L50" s="108"/>
      <c r="M50" s="106">
        <f>G50</f>
        <v>1</v>
      </c>
      <c r="N50" s="107"/>
      <c r="O50" s="107"/>
      <c r="P50" s="107"/>
      <c r="Q50" s="108"/>
      <c r="R50" s="109"/>
      <c r="S50" s="107"/>
      <c r="T50" s="107"/>
      <c r="U50" s="108"/>
      <c r="V50" s="100"/>
      <c r="W50" s="101"/>
      <c r="X50" s="101"/>
      <c r="Y50" s="102"/>
      <c r="Z50" s="159"/>
      <c r="AA50" s="149"/>
      <c r="AB50" s="149"/>
      <c r="AC50" s="155"/>
      <c r="AD50" s="149"/>
      <c r="AE50" s="149"/>
      <c r="AF50" s="155"/>
    </row>
    <row r="51" spans="1:32" customFormat="1" ht="99.95" customHeight="1" x14ac:dyDescent="0.25">
      <c r="A51" s="93">
        <v>45</v>
      </c>
      <c r="B51" s="315">
        <v>14</v>
      </c>
      <c r="C51" s="314" t="s">
        <v>373</v>
      </c>
      <c r="D51" s="314" t="s">
        <v>377</v>
      </c>
      <c r="E51" s="90">
        <v>5</v>
      </c>
      <c r="F51" s="314" t="s">
        <v>107</v>
      </c>
      <c r="G51" s="328">
        <f>VLOOKUP(A51,'2.2.Evaluación MGGTI'!$A$6:$F$207,6,0)</f>
        <v>1</v>
      </c>
      <c r="H51" s="107"/>
      <c r="I51" s="107"/>
      <c r="J51" s="107"/>
      <c r="K51" s="107"/>
      <c r="L51" s="108"/>
      <c r="M51" s="106">
        <f>G51</f>
        <v>1</v>
      </c>
      <c r="N51" s="107"/>
      <c r="O51" s="107"/>
      <c r="P51" s="107"/>
      <c r="Q51" s="108"/>
      <c r="R51" s="109"/>
      <c r="S51" s="107"/>
      <c r="T51" s="107"/>
      <c r="U51" s="108"/>
      <c r="V51" s="100"/>
      <c r="W51" s="101"/>
      <c r="X51" s="101"/>
      <c r="Y51" s="102"/>
      <c r="Z51" s="159"/>
      <c r="AA51" s="149"/>
      <c r="AB51" s="149"/>
      <c r="AC51" s="155"/>
      <c r="AD51" s="149"/>
      <c r="AE51" s="149"/>
      <c r="AF51" s="155"/>
    </row>
    <row r="52" spans="1:32" customFormat="1" ht="99.95" customHeight="1" x14ac:dyDescent="0.25">
      <c r="A52" s="93">
        <v>46</v>
      </c>
      <c r="B52" s="292">
        <v>15</v>
      </c>
      <c r="C52" s="314" t="s">
        <v>378</v>
      </c>
      <c r="D52" s="119" t="s">
        <v>379</v>
      </c>
      <c r="E52" s="90">
        <v>2</v>
      </c>
      <c r="F52" s="314" t="s">
        <v>107</v>
      </c>
      <c r="G52" s="328">
        <f>VLOOKUP(A52,'2.2.Evaluación MGGTI'!$A$6:$F$207,6,0)</f>
        <v>1</v>
      </c>
      <c r="H52" s="107"/>
      <c r="I52" s="107"/>
      <c r="J52" s="107"/>
      <c r="K52" s="107"/>
      <c r="L52" s="108"/>
      <c r="M52" s="109"/>
      <c r="N52" s="107"/>
      <c r="O52" s="107"/>
      <c r="P52" s="107"/>
      <c r="Q52" s="111">
        <f>G52</f>
        <v>1</v>
      </c>
      <c r="R52" s="109"/>
      <c r="S52" s="107"/>
      <c r="T52" s="107"/>
      <c r="U52" s="108"/>
      <c r="V52" s="100"/>
      <c r="W52" s="101"/>
      <c r="X52" s="101"/>
      <c r="Y52" s="102"/>
      <c r="Z52" s="159"/>
      <c r="AA52" s="149"/>
      <c r="AB52" s="149"/>
      <c r="AC52" s="155"/>
      <c r="AD52" s="149"/>
      <c r="AE52" s="149"/>
      <c r="AF52" s="155"/>
    </row>
    <row r="53" spans="1:32" customFormat="1" ht="99.95" customHeight="1" x14ac:dyDescent="0.25">
      <c r="A53" s="93">
        <v>47</v>
      </c>
      <c r="B53" s="292">
        <v>15</v>
      </c>
      <c r="C53" s="314" t="s">
        <v>378</v>
      </c>
      <c r="D53" s="314" t="s">
        <v>380</v>
      </c>
      <c r="E53" s="90">
        <v>3</v>
      </c>
      <c r="F53" s="314" t="s">
        <v>107</v>
      </c>
      <c r="G53" s="328">
        <f>VLOOKUP(A53,'2.2.Evaluación MGGTI'!$A$6:$F$207,6,0)</f>
        <v>1</v>
      </c>
      <c r="H53" s="107"/>
      <c r="I53" s="107"/>
      <c r="J53" s="107"/>
      <c r="K53" s="107"/>
      <c r="L53" s="108"/>
      <c r="M53" s="109"/>
      <c r="N53" s="107"/>
      <c r="O53" s="107"/>
      <c r="P53" s="107"/>
      <c r="Q53" s="111">
        <f>G53</f>
        <v>1</v>
      </c>
      <c r="R53" s="109"/>
      <c r="S53" s="107"/>
      <c r="T53" s="107"/>
      <c r="U53" s="108"/>
      <c r="V53" s="100"/>
      <c r="W53" s="101"/>
      <c r="X53" s="101"/>
      <c r="Y53" s="102"/>
      <c r="Z53" s="159"/>
      <c r="AA53" s="149"/>
      <c r="AB53" s="149"/>
      <c r="AC53" s="155"/>
      <c r="AD53" s="149"/>
      <c r="AE53" s="149"/>
      <c r="AF53" s="155"/>
    </row>
    <row r="54" spans="1:32" customFormat="1" ht="99.95" customHeight="1" x14ac:dyDescent="0.25">
      <c r="A54" s="93">
        <v>48</v>
      </c>
      <c r="B54" s="292">
        <v>15</v>
      </c>
      <c r="C54" s="314" t="s">
        <v>378</v>
      </c>
      <c r="D54" s="314" t="s">
        <v>381</v>
      </c>
      <c r="E54" s="90">
        <v>4</v>
      </c>
      <c r="F54" s="314" t="s">
        <v>107</v>
      </c>
      <c r="G54" s="328">
        <f>VLOOKUP(A54,'2.2.Evaluación MGGTI'!$A$6:$F$207,6,0)</f>
        <v>1</v>
      </c>
      <c r="H54" s="107"/>
      <c r="I54" s="107"/>
      <c r="J54" s="107"/>
      <c r="K54" s="107"/>
      <c r="L54" s="108"/>
      <c r="M54" s="109"/>
      <c r="N54" s="107"/>
      <c r="O54" s="107"/>
      <c r="P54" s="107"/>
      <c r="Q54" s="111">
        <f>G54</f>
        <v>1</v>
      </c>
      <c r="R54" s="109"/>
      <c r="S54" s="107"/>
      <c r="T54" s="107"/>
      <c r="U54" s="108"/>
      <c r="V54" s="100"/>
      <c r="W54" s="101"/>
      <c r="X54" s="101"/>
      <c r="Y54" s="102"/>
      <c r="Z54" s="159"/>
      <c r="AA54" s="149"/>
      <c r="AB54" s="149"/>
      <c r="AC54" s="155"/>
      <c r="AD54" s="149"/>
      <c r="AE54" s="149"/>
      <c r="AF54" s="155"/>
    </row>
    <row r="55" spans="1:32" customFormat="1" ht="99.95" customHeight="1" x14ac:dyDescent="0.25">
      <c r="A55" s="93">
        <v>49</v>
      </c>
      <c r="B55" s="292">
        <v>16</v>
      </c>
      <c r="C55" s="314" t="s">
        <v>382</v>
      </c>
      <c r="D55" s="119" t="s">
        <v>383</v>
      </c>
      <c r="E55" s="90">
        <v>2</v>
      </c>
      <c r="F55" s="314" t="s">
        <v>107</v>
      </c>
      <c r="G55" s="328">
        <f>VLOOKUP(A55,'2.2.Evaluación MGGTI'!$A$6:$F$207,6,0)</f>
        <v>1</v>
      </c>
      <c r="H55" s="107"/>
      <c r="I55" s="107"/>
      <c r="J55" s="107"/>
      <c r="K55" s="107"/>
      <c r="L55" s="108"/>
      <c r="M55" s="109"/>
      <c r="N55" s="107"/>
      <c r="O55" s="110">
        <f>G55</f>
        <v>1</v>
      </c>
      <c r="P55" s="107"/>
      <c r="Q55" s="108"/>
      <c r="R55" s="109"/>
      <c r="S55" s="107"/>
      <c r="T55" s="107"/>
      <c r="U55" s="108"/>
      <c r="V55" s="100"/>
      <c r="W55" s="101"/>
      <c r="X55" s="101"/>
      <c r="Y55" s="102"/>
      <c r="Z55" s="159"/>
      <c r="AA55" s="149"/>
      <c r="AB55" s="149"/>
      <c r="AC55" s="155"/>
      <c r="AD55" s="149"/>
      <c r="AE55" s="149"/>
      <c r="AF55" s="155"/>
    </row>
    <row r="56" spans="1:32" customFormat="1" ht="99.95" customHeight="1" x14ac:dyDescent="0.25">
      <c r="A56" s="93">
        <v>50</v>
      </c>
      <c r="B56" s="292">
        <v>16</v>
      </c>
      <c r="C56" s="314" t="s">
        <v>382</v>
      </c>
      <c r="D56" s="314" t="s">
        <v>384</v>
      </c>
      <c r="E56" s="90">
        <v>3</v>
      </c>
      <c r="F56" s="314" t="s">
        <v>107</v>
      </c>
      <c r="G56" s="328">
        <f>VLOOKUP(A56,'2.2.Evaluación MGGTI'!$A$6:$F$207,6,0)</f>
        <v>1</v>
      </c>
      <c r="H56" s="107"/>
      <c r="I56" s="107"/>
      <c r="J56" s="107"/>
      <c r="K56" s="107"/>
      <c r="L56" s="108"/>
      <c r="M56" s="109"/>
      <c r="N56" s="107"/>
      <c r="O56" s="110">
        <f>G56</f>
        <v>1</v>
      </c>
      <c r="P56" s="107"/>
      <c r="Q56" s="108"/>
      <c r="R56" s="109"/>
      <c r="S56" s="107"/>
      <c r="T56" s="107"/>
      <c r="U56" s="108"/>
      <c r="V56" s="100"/>
      <c r="W56" s="101"/>
      <c r="X56" s="101"/>
      <c r="Y56" s="102"/>
      <c r="Z56" s="159"/>
      <c r="AA56" s="149"/>
      <c r="AB56" s="149"/>
      <c r="AC56" s="155"/>
      <c r="AD56" s="149"/>
      <c r="AE56" s="149"/>
      <c r="AF56" s="155"/>
    </row>
    <row r="57" spans="1:32" customFormat="1" ht="99.95" customHeight="1" x14ac:dyDescent="0.25">
      <c r="A57" s="93">
        <v>51</v>
      </c>
      <c r="B57" s="292">
        <v>16</v>
      </c>
      <c r="C57" s="314" t="s">
        <v>382</v>
      </c>
      <c r="D57" s="314" t="s">
        <v>385</v>
      </c>
      <c r="E57" s="90">
        <v>4</v>
      </c>
      <c r="F57" s="314" t="s">
        <v>107</v>
      </c>
      <c r="G57" s="328">
        <f>VLOOKUP(A57,'2.2.Evaluación MGGTI'!$A$6:$F$207,6,0)</f>
        <v>1</v>
      </c>
      <c r="H57" s="107"/>
      <c r="I57" s="107"/>
      <c r="J57" s="107"/>
      <c r="K57" s="107"/>
      <c r="L57" s="108"/>
      <c r="M57" s="109"/>
      <c r="N57" s="107"/>
      <c r="O57" s="110">
        <f>G57</f>
        <v>1</v>
      </c>
      <c r="P57" s="107"/>
      <c r="Q57" s="108"/>
      <c r="R57" s="109"/>
      <c r="S57" s="107"/>
      <c r="T57" s="107"/>
      <c r="U57" s="108"/>
      <c r="V57" s="100"/>
      <c r="W57" s="101"/>
      <c r="X57" s="101"/>
      <c r="Y57" s="102"/>
      <c r="Z57" s="159"/>
      <c r="AA57" s="149"/>
      <c r="AB57" s="149"/>
      <c r="AC57" s="155"/>
      <c r="AD57" s="149"/>
      <c r="AE57" s="149"/>
      <c r="AF57" s="155"/>
    </row>
    <row r="58" spans="1:32" customFormat="1" ht="99.95" customHeight="1" x14ac:dyDescent="0.25">
      <c r="A58" s="93">
        <v>52</v>
      </c>
      <c r="B58" s="292">
        <v>17</v>
      </c>
      <c r="C58" s="314" t="s">
        <v>109</v>
      </c>
      <c r="D58" s="314" t="s">
        <v>386</v>
      </c>
      <c r="E58" s="90">
        <v>2</v>
      </c>
      <c r="F58" s="314" t="s">
        <v>107</v>
      </c>
      <c r="G58" s="328">
        <f>VLOOKUP(A58,'2.2.Evaluación MGGTI'!$A$6:$F$207,6,0)</f>
        <v>1</v>
      </c>
      <c r="H58" s="107"/>
      <c r="I58" s="107"/>
      <c r="J58" s="107"/>
      <c r="K58" s="107"/>
      <c r="L58" s="108"/>
      <c r="M58" s="109"/>
      <c r="N58" s="110">
        <f>G58</f>
        <v>1</v>
      </c>
      <c r="O58" s="107"/>
      <c r="P58" s="107"/>
      <c r="Q58" s="108"/>
      <c r="R58" s="109"/>
      <c r="S58" s="107"/>
      <c r="T58" s="107"/>
      <c r="U58" s="108"/>
      <c r="V58" s="100"/>
      <c r="W58" s="101"/>
      <c r="X58" s="101"/>
      <c r="Y58" s="102"/>
      <c r="Z58" s="159"/>
      <c r="AA58" s="149"/>
      <c r="AB58" s="149"/>
      <c r="AC58" s="155"/>
      <c r="AD58" s="149"/>
      <c r="AE58" s="149"/>
      <c r="AF58" s="155"/>
    </row>
    <row r="59" spans="1:32" customFormat="1" ht="99.95" customHeight="1" x14ac:dyDescent="0.25">
      <c r="A59" s="93">
        <v>53</v>
      </c>
      <c r="B59" s="292">
        <v>17</v>
      </c>
      <c r="C59" s="314" t="s">
        <v>109</v>
      </c>
      <c r="D59" s="119" t="s">
        <v>387</v>
      </c>
      <c r="E59" s="90">
        <v>3</v>
      </c>
      <c r="F59" s="314" t="s">
        <v>107</v>
      </c>
      <c r="G59" s="328">
        <f>VLOOKUP(A59,'2.2.Evaluación MGGTI'!$A$6:$F$207,6,0)</f>
        <v>1</v>
      </c>
      <c r="H59" s="107"/>
      <c r="I59" s="107"/>
      <c r="J59" s="107"/>
      <c r="K59" s="107"/>
      <c r="L59" s="108"/>
      <c r="M59" s="109"/>
      <c r="N59" s="110">
        <f>G59</f>
        <v>1</v>
      </c>
      <c r="O59" s="107"/>
      <c r="P59" s="107"/>
      <c r="Q59" s="108"/>
      <c r="R59" s="109"/>
      <c r="S59" s="107"/>
      <c r="T59" s="107"/>
      <c r="U59" s="108"/>
      <c r="V59" s="100"/>
      <c r="W59" s="101"/>
      <c r="X59" s="101"/>
      <c r="Y59" s="102"/>
      <c r="Z59" s="159"/>
      <c r="AA59" s="149"/>
      <c r="AB59" s="149"/>
      <c r="AC59" s="155"/>
      <c r="AD59" s="149"/>
      <c r="AE59" s="149"/>
      <c r="AF59" s="155"/>
    </row>
    <row r="60" spans="1:32" customFormat="1" ht="99.95" customHeight="1" x14ac:dyDescent="0.25">
      <c r="A60" s="93">
        <v>54</v>
      </c>
      <c r="B60" s="292">
        <v>17</v>
      </c>
      <c r="C60" s="314" t="s">
        <v>109</v>
      </c>
      <c r="D60" s="119" t="s">
        <v>388</v>
      </c>
      <c r="E60" s="90">
        <v>4</v>
      </c>
      <c r="F60" s="314" t="s">
        <v>107</v>
      </c>
      <c r="G60" s="328">
        <f>VLOOKUP(A60,'2.2.Evaluación MGGTI'!$A$6:$F$207,6,0)</f>
        <v>1</v>
      </c>
      <c r="H60" s="107"/>
      <c r="I60" s="107"/>
      <c r="J60" s="107"/>
      <c r="K60" s="107"/>
      <c r="L60" s="108"/>
      <c r="M60" s="109"/>
      <c r="N60" s="110">
        <f>G60</f>
        <v>1</v>
      </c>
      <c r="O60" s="107"/>
      <c r="P60" s="107"/>
      <c r="Q60" s="108"/>
      <c r="R60" s="109"/>
      <c r="S60" s="107"/>
      <c r="T60" s="107"/>
      <c r="U60" s="108"/>
      <c r="V60" s="100"/>
      <c r="W60" s="101"/>
      <c r="X60" s="101"/>
      <c r="Y60" s="102"/>
      <c r="Z60" s="159"/>
      <c r="AA60" s="149"/>
      <c r="AB60" s="149"/>
      <c r="AC60" s="155"/>
      <c r="AD60" s="149"/>
      <c r="AE60" s="149"/>
      <c r="AF60" s="155"/>
    </row>
    <row r="61" spans="1:32" customFormat="1" ht="99.95" customHeight="1" x14ac:dyDescent="0.25">
      <c r="A61" s="93">
        <v>55</v>
      </c>
      <c r="B61" s="292">
        <v>18</v>
      </c>
      <c r="C61" s="314" t="s">
        <v>85</v>
      </c>
      <c r="D61" s="314" t="s">
        <v>389</v>
      </c>
      <c r="E61" s="90">
        <v>2</v>
      </c>
      <c r="F61" s="314" t="s">
        <v>107</v>
      </c>
      <c r="G61" s="328">
        <f>VLOOKUP(A61,'2.2.Evaluación MGGTI'!$A$6:$F$207,6,0)</f>
        <v>1</v>
      </c>
      <c r="H61" s="107"/>
      <c r="I61" s="107"/>
      <c r="J61" s="107"/>
      <c r="K61" s="107"/>
      <c r="L61" s="108"/>
      <c r="M61" s="109"/>
      <c r="N61" s="107"/>
      <c r="O61" s="110">
        <f t="shared" ref="O61:O71" si="4">G61</f>
        <v>1</v>
      </c>
      <c r="P61" s="107"/>
      <c r="Q61" s="108"/>
      <c r="R61" s="109"/>
      <c r="S61" s="107"/>
      <c r="T61" s="107"/>
      <c r="U61" s="108"/>
      <c r="V61" s="100"/>
      <c r="W61" s="101"/>
      <c r="X61" s="101"/>
      <c r="Y61" s="102"/>
      <c r="Z61" s="159"/>
      <c r="AA61" s="149"/>
      <c r="AB61" s="149"/>
      <c r="AC61" s="155"/>
      <c r="AD61" s="149"/>
      <c r="AE61" s="149"/>
      <c r="AF61" s="155"/>
    </row>
    <row r="62" spans="1:32" customFormat="1" ht="99.95" customHeight="1" x14ac:dyDescent="0.25">
      <c r="A62" s="93">
        <v>56</v>
      </c>
      <c r="B62" s="292">
        <v>18</v>
      </c>
      <c r="C62" s="314" t="s">
        <v>85</v>
      </c>
      <c r="D62" s="314" t="s">
        <v>390</v>
      </c>
      <c r="E62" s="90">
        <v>3</v>
      </c>
      <c r="F62" s="314" t="s">
        <v>107</v>
      </c>
      <c r="G62" s="328">
        <f>VLOOKUP(A62,'2.2.Evaluación MGGTI'!$A$6:$F$207,6,0)</f>
        <v>1</v>
      </c>
      <c r="H62" s="107"/>
      <c r="I62" s="107"/>
      <c r="J62" s="107"/>
      <c r="K62" s="107"/>
      <c r="L62" s="108"/>
      <c r="M62" s="109"/>
      <c r="N62" s="107"/>
      <c r="O62" s="110">
        <f t="shared" si="4"/>
        <v>1</v>
      </c>
      <c r="P62" s="107"/>
      <c r="Q62" s="108"/>
      <c r="R62" s="109"/>
      <c r="S62" s="107"/>
      <c r="T62" s="107"/>
      <c r="U62" s="108"/>
      <c r="V62" s="100"/>
      <c r="W62" s="101"/>
      <c r="X62" s="101"/>
      <c r="Y62" s="102"/>
      <c r="Z62" s="159"/>
      <c r="AA62" s="149"/>
      <c r="AB62" s="149"/>
      <c r="AC62" s="155"/>
      <c r="AD62" s="149"/>
      <c r="AE62" s="149"/>
      <c r="AF62" s="155"/>
    </row>
    <row r="63" spans="1:32" customFormat="1" ht="99.95" customHeight="1" x14ac:dyDescent="0.25">
      <c r="A63" s="93">
        <v>57</v>
      </c>
      <c r="B63" s="292">
        <v>18</v>
      </c>
      <c r="C63" s="314" t="s">
        <v>85</v>
      </c>
      <c r="D63" s="314" t="s">
        <v>391</v>
      </c>
      <c r="E63" s="90">
        <v>4</v>
      </c>
      <c r="F63" s="314" t="s">
        <v>107</v>
      </c>
      <c r="G63" s="328">
        <f>VLOOKUP(A63,'2.2.Evaluación MGGTI'!$A$6:$F$207,6,0)</f>
        <v>1</v>
      </c>
      <c r="H63" s="107"/>
      <c r="I63" s="107"/>
      <c r="J63" s="107"/>
      <c r="K63" s="107"/>
      <c r="L63" s="108"/>
      <c r="M63" s="109"/>
      <c r="N63" s="107"/>
      <c r="O63" s="110">
        <f t="shared" si="4"/>
        <v>1</v>
      </c>
      <c r="P63" s="107"/>
      <c r="Q63" s="108"/>
      <c r="R63" s="109"/>
      <c r="S63" s="107"/>
      <c r="T63" s="107"/>
      <c r="U63" s="108"/>
      <c r="V63" s="100"/>
      <c r="W63" s="101"/>
      <c r="X63" s="101"/>
      <c r="Y63" s="102"/>
      <c r="Z63" s="159"/>
      <c r="AA63" s="149"/>
      <c r="AB63" s="149"/>
      <c r="AC63" s="155"/>
      <c r="AD63" s="149"/>
      <c r="AE63" s="149"/>
      <c r="AF63" s="155"/>
    </row>
    <row r="64" spans="1:32" customFormat="1" ht="99.95" customHeight="1" x14ac:dyDescent="0.25">
      <c r="A64" s="93">
        <v>58</v>
      </c>
      <c r="B64" s="292">
        <v>18</v>
      </c>
      <c r="C64" s="314" t="s">
        <v>85</v>
      </c>
      <c r="D64" s="314" t="s">
        <v>392</v>
      </c>
      <c r="E64" s="90">
        <v>5</v>
      </c>
      <c r="F64" s="314" t="s">
        <v>107</v>
      </c>
      <c r="G64" s="328">
        <f>VLOOKUP(A64,'2.2.Evaluación MGGTI'!$A$6:$F$207,6,0)</f>
        <v>1</v>
      </c>
      <c r="H64" s="107"/>
      <c r="I64" s="107"/>
      <c r="J64" s="107"/>
      <c r="K64" s="107"/>
      <c r="L64" s="108"/>
      <c r="M64" s="109"/>
      <c r="N64" s="107"/>
      <c r="O64" s="110">
        <f t="shared" si="4"/>
        <v>1</v>
      </c>
      <c r="P64" s="107"/>
      <c r="Q64" s="108"/>
      <c r="R64" s="109"/>
      <c r="S64" s="107"/>
      <c r="T64" s="107"/>
      <c r="U64" s="108"/>
      <c r="V64" s="100"/>
      <c r="W64" s="101"/>
      <c r="X64" s="101"/>
      <c r="Y64" s="102"/>
      <c r="Z64" s="159"/>
      <c r="AA64" s="149"/>
      <c r="AB64" s="149"/>
      <c r="AC64" s="155"/>
      <c r="AD64" s="149"/>
      <c r="AE64" s="149"/>
      <c r="AF64" s="155"/>
    </row>
    <row r="65" spans="1:32" ht="99.95" customHeight="1" x14ac:dyDescent="0.2">
      <c r="A65" s="93">
        <v>59</v>
      </c>
      <c r="B65" s="90">
        <v>19</v>
      </c>
      <c r="C65" s="314" t="s">
        <v>393</v>
      </c>
      <c r="D65" s="314" t="s">
        <v>394</v>
      </c>
      <c r="E65" s="90">
        <v>2</v>
      </c>
      <c r="F65" s="314" t="s">
        <v>107</v>
      </c>
      <c r="G65" s="328">
        <f>VLOOKUP(A65,'2.2.Evaluación MGGTI'!$A$6:$F$207,6,0)</f>
        <v>1</v>
      </c>
      <c r="H65" s="107"/>
      <c r="I65" s="107"/>
      <c r="J65" s="107"/>
      <c r="K65" s="107"/>
      <c r="L65" s="108"/>
      <c r="M65" s="109"/>
      <c r="N65" s="107"/>
      <c r="O65" s="110">
        <f t="shared" si="4"/>
        <v>1</v>
      </c>
      <c r="P65" s="107"/>
      <c r="Q65" s="108"/>
      <c r="R65" s="109"/>
      <c r="S65" s="107"/>
      <c r="T65" s="107"/>
      <c r="U65" s="108"/>
      <c r="V65" s="109"/>
      <c r="W65" s="107"/>
      <c r="X65" s="107"/>
      <c r="Y65" s="108"/>
      <c r="Z65" s="132"/>
      <c r="AA65" s="133"/>
      <c r="AB65" s="133"/>
      <c r="AC65" s="134"/>
      <c r="AD65" s="133"/>
      <c r="AE65" s="133"/>
      <c r="AF65" s="134"/>
    </row>
    <row r="66" spans="1:32" ht="99.95" customHeight="1" x14ac:dyDescent="0.2">
      <c r="A66" s="93">
        <v>60</v>
      </c>
      <c r="B66" s="90">
        <v>19</v>
      </c>
      <c r="C66" s="314" t="s">
        <v>393</v>
      </c>
      <c r="D66" s="314" t="s">
        <v>395</v>
      </c>
      <c r="E66" s="90">
        <v>3</v>
      </c>
      <c r="F66" s="314" t="s">
        <v>107</v>
      </c>
      <c r="G66" s="328">
        <f>VLOOKUP(A66,'2.2.Evaluación MGGTI'!$A$6:$F$207,6,0)</f>
        <v>1</v>
      </c>
      <c r="H66" s="107"/>
      <c r="I66" s="107"/>
      <c r="J66" s="107"/>
      <c r="K66" s="107"/>
      <c r="L66" s="108"/>
      <c r="M66" s="109"/>
      <c r="N66" s="107"/>
      <c r="O66" s="110">
        <f t="shared" si="4"/>
        <v>1</v>
      </c>
      <c r="P66" s="107"/>
      <c r="Q66" s="108"/>
      <c r="R66" s="109"/>
      <c r="S66" s="107"/>
      <c r="T66" s="107"/>
      <c r="U66" s="108"/>
      <c r="V66" s="109"/>
      <c r="W66" s="107"/>
      <c r="X66" s="107"/>
      <c r="Y66" s="108"/>
      <c r="Z66" s="132"/>
      <c r="AA66" s="133"/>
      <c r="AB66" s="133"/>
      <c r="AC66" s="134"/>
      <c r="AD66" s="133"/>
      <c r="AE66" s="133"/>
      <c r="AF66" s="134"/>
    </row>
    <row r="67" spans="1:32" ht="99.95" customHeight="1" x14ac:dyDescent="0.2">
      <c r="A67" s="93">
        <v>61</v>
      </c>
      <c r="B67" s="90">
        <v>19</v>
      </c>
      <c r="C67" s="314" t="s">
        <v>393</v>
      </c>
      <c r="D67" s="314" t="s">
        <v>396</v>
      </c>
      <c r="E67" s="90">
        <v>4</v>
      </c>
      <c r="F67" s="314" t="s">
        <v>107</v>
      </c>
      <c r="G67" s="328">
        <f>VLOOKUP(A67,'2.2.Evaluación MGGTI'!$A$6:$F$207,6,0)</f>
        <v>1</v>
      </c>
      <c r="H67" s="107"/>
      <c r="I67" s="107"/>
      <c r="J67" s="107"/>
      <c r="K67" s="107"/>
      <c r="L67" s="108"/>
      <c r="M67" s="109"/>
      <c r="N67" s="107"/>
      <c r="O67" s="110">
        <f t="shared" si="4"/>
        <v>1</v>
      </c>
      <c r="P67" s="107"/>
      <c r="Q67" s="108"/>
      <c r="R67" s="109"/>
      <c r="S67" s="107"/>
      <c r="T67" s="107"/>
      <c r="U67" s="108"/>
      <c r="V67" s="109"/>
      <c r="W67" s="107"/>
      <c r="X67" s="107"/>
      <c r="Y67" s="108"/>
      <c r="Z67" s="132"/>
      <c r="AA67" s="133"/>
      <c r="AB67" s="133"/>
      <c r="AC67" s="134"/>
      <c r="AD67" s="133"/>
      <c r="AE67" s="133"/>
      <c r="AF67" s="134"/>
    </row>
    <row r="68" spans="1:32" ht="99.95" customHeight="1" x14ac:dyDescent="0.2">
      <c r="A68" s="93">
        <v>62</v>
      </c>
      <c r="B68" s="90">
        <v>20</v>
      </c>
      <c r="C68" s="314" t="s">
        <v>397</v>
      </c>
      <c r="D68" s="314" t="s">
        <v>398</v>
      </c>
      <c r="E68" s="90">
        <v>2</v>
      </c>
      <c r="F68" s="314" t="s">
        <v>107</v>
      </c>
      <c r="G68" s="328">
        <f>VLOOKUP(A68,'2.2.Evaluación MGGTI'!$A$6:$F$207,6,0)</f>
        <v>1</v>
      </c>
      <c r="H68" s="107"/>
      <c r="I68" s="107"/>
      <c r="J68" s="107"/>
      <c r="K68" s="107"/>
      <c r="L68" s="108"/>
      <c r="M68" s="109"/>
      <c r="N68" s="107"/>
      <c r="O68" s="110">
        <f t="shared" si="4"/>
        <v>1</v>
      </c>
      <c r="P68" s="107"/>
      <c r="Q68" s="108"/>
      <c r="R68" s="109"/>
      <c r="S68" s="107"/>
      <c r="T68" s="107"/>
      <c r="U68" s="108"/>
      <c r="V68" s="109"/>
      <c r="W68" s="107"/>
      <c r="X68" s="107"/>
      <c r="Y68" s="108"/>
      <c r="Z68" s="132"/>
      <c r="AA68" s="133"/>
      <c r="AB68" s="133"/>
      <c r="AC68" s="134"/>
      <c r="AD68" s="133"/>
      <c r="AE68" s="133"/>
      <c r="AF68" s="134"/>
    </row>
    <row r="69" spans="1:32" ht="99.95" customHeight="1" x14ac:dyDescent="0.2">
      <c r="A69" s="93">
        <v>63</v>
      </c>
      <c r="B69" s="90">
        <v>20</v>
      </c>
      <c r="C69" s="314" t="s">
        <v>397</v>
      </c>
      <c r="D69" s="314" t="s">
        <v>399</v>
      </c>
      <c r="E69" s="90">
        <v>3</v>
      </c>
      <c r="F69" s="314" t="s">
        <v>107</v>
      </c>
      <c r="G69" s="328">
        <f>VLOOKUP(A69,'2.2.Evaluación MGGTI'!$A$6:$F$207,6,0)</f>
        <v>1</v>
      </c>
      <c r="H69" s="107"/>
      <c r="I69" s="107"/>
      <c r="J69" s="107"/>
      <c r="K69" s="107"/>
      <c r="L69" s="108"/>
      <c r="M69" s="109"/>
      <c r="N69" s="107"/>
      <c r="O69" s="110">
        <f t="shared" si="4"/>
        <v>1</v>
      </c>
      <c r="P69" s="107"/>
      <c r="Q69" s="108"/>
      <c r="R69" s="109"/>
      <c r="S69" s="107"/>
      <c r="T69" s="107"/>
      <c r="U69" s="108"/>
      <c r="V69" s="109"/>
      <c r="W69" s="107"/>
      <c r="X69" s="107"/>
      <c r="Y69" s="108"/>
      <c r="Z69" s="132"/>
      <c r="AA69" s="133"/>
      <c r="AB69" s="133"/>
      <c r="AC69" s="134"/>
      <c r="AD69" s="133"/>
      <c r="AE69" s="133"/>
      <c r="AF69" s="134"/>
    </row>
    <row r="70" spans="1:32" ht="99.95" customHeight="1" x14ac:dyDescent="0.2">
      <c r="A70" s="93">
        <v>64</v>
      </c>
      <c r="B70" s="90">
        <v>20</v>
      </c>
      <c r="C70" s="314" t="s">
        <v>397</v>
      </c>
      <c r="D70" s="314" t="s">
        <v>400</v>
      </c>
      <c r="E70" s="90">
        <v>4</v>
      </c>
      <c r="F70" s="314" t="s">
        <v>107</v>
      </c>
      <c r="G70" s="328">
        <f>VLOOKUP(A70,'2.2.Evaluación MGGTI'!$A$6:$F$207,6,0)</f>
        <v>1</v>
      </c>
      <c r="H70" s="107"/>
      <c r="I70" s="107"/>
      <c r="J70" s="107"/>
      <c r="K70" s="107"/>
      <c r="L70" s="108"/>
      <c r="M70" s="109"/>
      <c r="N70" s="107"/>
      <c r="O70" s="110">
        <f t="shared" si="4"/>
        <v>1</v>
      </c>
      <c r="P70" s="107"/>
      <c r="Q70" s="108"/>
      <c r="R70" s="109"/>
      <c r="S70" s="107"/>
      <c r="T70" s="107"/>
      <c r="U70" s="108"/>
      <c r="V70" s="109"/>
      <c r="W70" s="107"/>
      <c r="X70" s="107"/>
      <c r="Y70" s="108"/>
      <c r="Z70" s="132"/>
      <c r="AA70" s="133"/>
      <c r="AB70" s="133"/>
      <c r="AC70" s="134"/>
      <c r="AD70" s="133"/>
      <c r="AE70" s="133"/>
      <c r="AF70" s="134"/>
    </row>
    <row r="71" spans="1:32" ht="99.95" customHeight="1" x14ac:dyDescent="0.2">
      <c r="A71" s="93">
        <v>65</v>
      </c>
      <c r="B71" s="90">
        <v>20</v>
      </c>
      <c r="C71" s="314" t="s">
        <v>397</v>
      </c>
      <c r="D71" s="314" t="s">
        <v>401</v>
      </c>
      <c r="E71" s="90">
        <v>5</v>
      </c>
      <c r="F71" s="314" t="s">
        <v>107</v>
      </c>
      <c r="G71" s="328">
        <f>VLOOKUP(A71,'2.2.Evaluación MGGTI'!$A$6:$F$207,6,0)</f>
        <v>1</v>
      </c>
      <c r="H71" s="107"/>
      <c r="I71" s="107"/>
      <c r="J71" s="107"/>
      <c r="K71" s="107"/>
      <c r="L71" s="108"/>
      <c r="M71" s="109"/>
      <c r="N71" s="107"/>
      <c r="O71" s="110">
        <f t="shared" si="4"/>
        <v>1</v>
      </c>
      <c r="P71" s="107"/>
      <c r="Q71" s="108"/>
      <c r="R71" s="109"/>
      <c r="S71" s="107"/>
      <c r="T71" s="107"/>
      <c r="U71" s="108"/>
      <c r="V71" s="109"/>
      <c r="W71" s="107"/>
      <c r="X71" s="107"/>
      <c r="Y71" s="108"/>
      <c r="Z71" s="132"/>
      <c r="AA71" s="133"/>
      <c r="AB71" s="133"/>
      <c r="AC71" s="134"/>
      <c r="AD71" s="133"/>
      <c r="AE71" s="133"/>
      <c r="AF71" s="134"/>
    </row>
    <row r="72" spans="1:32" ht="99.95" customHeight="1" x14ac:dyDescent="0.2">
      <c r="A72" s="93">
        <v>66</v>
      </c>
      <c r="B72" s="90">
        <v>21</v>
      </c>
      <c r="C72" s="314" t="s">
        <v>402</v>
      </c>
      <c r="D72" s="314" t="s">
        <v>403</v>
      </c>
      <c r="E72" s="90">
        <v>3</v>
      </c>
      <c r="F72" s="314" t="s">
        <v>107</v>
      </c>
      <c r="G72" s="328">
        <f>VLOOKUP(A72,'2.2.Evaluación MGGTI'!$A$6:$F$207,6,0)</f>
        <v>1</v>
      </c>
      <c r="H72" s="107"/>
      <c r="I72" s="107"/>
      <c r="J72" s="107"/>
      <c r="K72" s="107"/>
      <c r="L72" s="108"/>
      <c r="M72" s="109"/>
      <c r="N72" s="107"/>
      <c r="O72" s="107"/>
      <c r="P72" s="110">
        <f t="shared" ref="P72:P79" si="5">G72</f>
        <v>1</v>
      </c>
      <c r="Q72" s="108"/>
      <c r="R72" s="109"/>
      <c r="S72" s="107"/>
      <c r="T72" s="107"/>
      <c r="U72" s="108"/>
      <c r="V72" s="109"/>
      <c r="W72" s="107"/>
      <c r="X72" s="107"/>
      <c r="Y72" s="108"/>
      <c r="Z72" s="132"/>
      <c r="AA72" s="133"/>
      <c r="AB72" s="133"/>
      <c r="AC72" s="134"/>
      <c r="AD72" s="133"/>
      <c r="AE72" s="133"/>
      <c r="AF72" s="134"/>
    </row>
    <row r="73" spans="1:32" ht="99.95" customHeight="1" x14ac:dyDescent="0.2">
      <c r="A73" s="93">
        <v>67</v>
      </c>
      <c r="B73" s="90">
        <v>21</v>
      </c>
      <c r="C73" s="314" t="s">
        <v>402</v>
      </c>
      <c r="D73" s="314" t="s">
        <v>404</v>
      </c>
      <c r="E73" s="90">
        <v>3</v>
      </c>
      <c r="F73" s="314" t="s">
        <v>107</v>
      </c>
      <c r="G73" s="328">
        <f>VLOOKUP(A73,'2.2.Evaluación MGGTI'!$A$6:$F$207,6,0)</f>
        <v>1</v>
      </c>
      <c r="H73" s="107"/>
      <c r="I73" s="107"/>
      <c r="J73" s="107"/>
      <c r="K73" s="107"/>
      <c r="L73" s="108"/>
      <c r="M73" s="109"/>
      <c r="N73" s="107"/>
      <c r="O73" s="107"/>
      <c r="P73" s="110">
        <f t="shared" si="5"/>
        <v>1</v>
      </c>
      <c r="Q73" s="108"/>
      <c r="R73" s="109"/>
      <c r="S73" s="107"/>
      <c r="T73" s="107"/>
      <c r="U73" s="108"/>
      <c r="V73" s="109"/>
      <c r="W73" s="107"/>
      <c r="X73" s="107"/>
      <c r="Y73" s="108"/>
      <c r="Z73" s="132"/>
      <c r="AA73" s="133"/>
      <c r="AB73" s="133"/>
      <c r="AC73" s="134"/>
      <c r="AD73" s="133"/>
      <c r="AE73" s="133"/>
      <c r="AF73" s="134"/>
    </row>
    <row r="74" spans="1:32" ht="99.95" customHeight="1" x14ac:dyDescent="0.2">
      <c r="A74" s="93">
        <v>68</v>
      </c>
      <c r="B74" s="90">
        <v>21</v>
      </c>
      <c r="C74" s="314" t="s">
        <v>402</v>
      </c>
      <c r="D74" s="314" t="s">
        <v>405</v>
      </c>
      <c r="E74" s="90">
        <v>3</v>
      </c>
      <c r="F74" s="314" t="s">
        <v>107</v>
      </c>
      <c r="G74" s="328">
        <f>VLOOKUP(A74,'2.2.Evaluación MGGTI'!$A$6:$F$207,6,0)</f>
        <v>1</v>
      </c>
      <c r="H74" s="107"/>
      <c r="I74" s="107"/>
      <c r="J74" s="107"/>
      <c r="K74" s="107"/>
      <c r="L74" s="108"/>
      <c r="M74" s="109"/>
      <c r="N74" s="107"/>
      <c r="O74" s="107"/>
      <c r="P74" s="110">
        <f t="shared" si="5"/>
        <v>1</v>
      </c>
      <c r="Q74" s="108"/>
      <c r="R74" s="109"/>
      <c r="S74" s="107"/>
      <c r="T74" s="107"/>
      <c r="U74" s="108"/>
      <c r="V74" s="109"/>
      <c r="W74" s="107"/>
      <c r="X74" s="107"/>
      <c r="Y74" s="108"/>
      <c r="Z74" s="132"/>
      <c r="AA74" s="133"/>
      <c r="AB74" s="133"/>
      <c r="AC74" s="134"/>
      <c r="AD74" s="133"/>
      <c r="AE74" s="133"/>
      <c r="AF74" s="134"/>
    </row>
    <row r="75" spans="1:32" ht="99.95" customHeight="1" x14ac:dyDescent="0.2">
      <c r="A75" s="93">
        <v>69</v>
      </c>
      <c r="B75" s="90">
        <v>22</v>
      </c>
      <c r="C75" s="314" t="s">
        <v>406</v>
      </c>
      <c r="D75" s="314" t="s">
        <v>407</v>
      </c>
      <c r="E75" s="90">
        <v>3</v>
      </c>
      <c r="F75" s="314" t="s">
        <v>107</v>
      </c>
      <c r="G75" s="328">
        <f>VLOOKUP(A75,'2.2.Evaluación MGGTI'!$A$6:$F$207,6,0)</f>
        <v>1</v>
      </c>
      <c r="H75" s="107"/>
      <c r="I75" s="107"/>
      <c r="J75" s="107"/>
      <c r="K75" s="107"/>
      <c r="L75" s="108"/>
      <c r="M75" s="109"/>
      <c r="N75" s="107"/>
      <c r="O75" s="107"/>
      <c r="P75" s="110">
        <f t="shared" si="5"/>
        <v>1</v>
      </c>
      <c r="Q75" s="108"/>
      <c r="R75" s="109"/>
      <c r="S75" s="107"/>
      <c r="T75" s="107"/>
      <c r="U75" s="108"/>
      <c r="V75" s="109"/>
      <c r="W75" s="107"/>
      <c r="X75" s="107"/>
      <c r="Y75" s="108"/>
      <c r="Z75" s="132"/>
      <c r="AA75" s="133"/>
      <c r="AB75" s="133"/>
      <c r="AC75" s="134"/>
      <c r="AD75" s="133"/>
      <c r="AE75" s="133"/>
      <c r="AF75" s="134"/>
    </row>
    <row r="76" spans="1:32" ht="99.95" customHeight="1" x14ac:dyDescent="0.2">
      <c r="A76" s="93">
        <v>70</v>
      </c>
      <c r="B76" s="90">
        <v>23</v>
      </c>
      <c r="C76" s="314" t="s">
        <v>408</v>
      </c>
      <c r="D76" s="314" t="s">
        <v>409</v>
      </c>
      <c r="E76" s="90">
        <v>3</v>
      </c>
      <c r="F76" s="314" t="s">
        <v>107</v>
      </c>
      <c r="G76" s="328">
        <f>VLOOKUP(A76,'2.2.Evaluación MGGTI'!$A$6:$F$207,6,0)</f>
        <v>1</v>
      </c>
      <c r="H76" s="107"/>
      <c r="I76" s="107"/>
      <c r="J76" s="107"/>
      <c r="K76" s="107"/>
      <c r="L76" s="108"/>
      <c r="M76" s="109"/>
      <c r="N76" s="107"/>
      <c r="O76" s="107"/>
      <c r="P76" s="110">
        <f t="shared" si="5"/>
        <v>1</v>
      </c>
      <c r="Q76" s="108"/>
      <c r="R76" s="109"/>
      <c r="S76" s="107"/>
      <c r="T76" s="107"/>
      <c r="U76" s="108"/>
      <c r="V76" s="109"/>
      <c r="W76" s="107"/>
      <c r="X76" s="107"/>
      <c r="Y76" s="108"/>
      <c r="Z76" s="132"/>
      <c r="AA76" s="133"/>
      <c r="AB76" s="133"/>
      <c r="AC76" s="134"/>
      <c r="AD76" s="133"/>
      <c r="AE76" s="133"/>
      <c r="AF76" s="134"/>
    </row>
    <row r="77" spans="1:32" ht="99.95" customHeight="1" x14ac:dyDescent="0.2">
      <c r="A77" s="93">
        <v>71</v>
      </c>
      <c r="B77" s="90">
        <v>23</v>
      </c>
      <c r="C77" s="314" t="s">
        <v>408</v>
      </c>
      <c r="D77" s="314" t="s">
        <v>410</v>
      </c>
      <c r="E77" s="90">
        <v>4</v>
      </c>
      <c r="F77" s="314" t="s">
        <v>107</v>
      </c>
      <c r="G77" s="328">
        <f>VLOOKUP(A77,'2.2.Evaluación MGGTI'!$A$6:$F$207,6,0)</f>
        <v>1</v>
      </c>
      <c r="H77" s="107"/>
      <c r="I77" s="107"/>
      <c r="J77" s="107"/>
      <c r="K77" s="107"/>
      <c r="L77" s="108"/>
      <c r="M77" s="109"/>
      <c r="N77" s="107"/>
      <c r="O77" s="107"/>
      <c r="P77" s="110">
        <f t="shared" si="5"/>
        <v>1</v>
      </c>
      <c r="Q77" s="108"/>
      <c r="R77" s="109"/>
      <c r="S77" s="107"/>
      <c r="T77" s="107"/>
      <c r="U77" s="108"/>
      <c r="V77" s="109"/>
      <c r="W77" s="107"/>
      <c r="X77" s="107"/>
      <c r="Y77" s="108"/>
      <c r="Z77" s="132"/>
      <c r="AA77" s="133"/>
      <c r="AB77" s="133"/>
      <c r="AC77" s="134"/>
      <c r="AD77" s="133"/>
      <c r="AE77" s="133"/>
      <c r="AF77" s="134"/>
    </row>
    <row r="78" spans="1:32" ht="99.95" customHeight="1" x14ac:dyDescent="0.2">
      <c r="A78" s="93">
        <v>72</v>
      </c>
      <c r="B78" s="90">
        <v>24</v>
      </c>
      <c r="C78" s="314" t="s">
        <v>411</v>
      </c>
      <c r="D78" s="314" t="s">
        <v>412</v>
      </c>
      <c r="E78" s="90">
        <v>2</v>
      </c>
      <c r="F78" s="316" t="s">
        <v>107</v>
      </c>
      <c r="G78" s="328">
        <f>VLOOKUP(A78,'2.2.Evaluación MGGTI'!$A$6:$F$207,6,0)</f>
        <v>1</v>
      </c>
      <c r="H78" s="107"/>
      <c r="I78" s="107"/>
      <c r="J78" s="107"/>
      <c r="K78" s="107"/>
      <c r="L78" s="108"/>
      <c r="M78" s="132"/>
      <c r="N78" s="133"/>
      <c r="O78" s="133"/>
      <c r="P78" s="110">
        <f t="shared" si="5"/>
        <v>1</v>
      </c>
      <c r="Q78" s="134"/>
      <c r="R78" s="132"/>
      <c r="S78" s="133"/>
      <c r="T78" s="133"/>
      <c r="U78" s="134"/>
      <c r="V78" s="132"/>
      <c r="W78" s="133"/>
      <c r="X78" s="133"/>
      <c r="Y78" s="134"/>
      <c r="Z78" s="132"/>
      <c r="AA78" s="133"/>
      <c r="AB78" s="133"/>
      <c r="AC78" s="134"/>
      <c r="AD78" s="133"/>
      <c r="AE78" s="133"/>
      <c r="AF78" s="134"/>
    </row>
    <row r="79" spans="1:32" ht="99.95" customHeight="1" x14ac:dyDescent="0.2">
      <c r="A79" s="93">
        <v>73</v>
      </c>
      <c r="B79" s="90">
        <v>24</v>
      </c>
      <c r="C79" s="314" t="s">
        <v>411</v>
      </c>
      <c r="D79" s="314" t="s">
        <v>413</v>
      </c>
      <c r="E79" s="90">
        <v>3</v>
      </c>
      <c r="F79" s="316" t="s">
        <v>107</v>
      </c>
      <c r="G79" s="328">
        <f>VLOOKUP(A79,'2.2.Evaluación MGGTI'!$A$6:$F$207,6,0)</f>
        <v>1</v>
      </c>
      <c r="H79" s="107"/>
      <c r="I79" s="107"/>
      <c r="J79" s="107"/>
      <c r="K79" s="107"/>
      <c r="L79" s="108"/>
      <c r="M79" s="132"/>
      <c r="N79" s="133"/>
      <c r="O79" s="133"/>
      <c r="P79" s="110">
        <f t="shared" si="5"/>
        <v>1</v>
      </c>
      <c r="Q79" s="134"/>
      <c r="R79" s="132"/>
      <c r="S79" s="133"/>
      <c r="T79" s="133"/>
      <c r="U79" s="134"/>
      <c r="V79" s="132"/>
      <c r="W79" s="133"/>
      <c r="X79" s="133"/>
      <c r="Y79" s="134"/>
      <c r="Z79" s="132"/>
      <c r="AA79" s="133"/>
      <c r="AB79" s="133"/>
      <c r="AC79" s="134"/>
      <c r="AD79" s="133"/>
      <c r="AE79" s="133"/>
      <c r="AF79" s="134"/>
    </row>
    <row r="80" spans="1:32" ht="99.95" customHeight="1" x14ac:dyDescent="0.2">
      <c r="A80" s="93">
        <v>74</v>
      </c>
      <c r="B80" s="90">
        <v>25</v>
      </c>
      <c r="C80" s="314" t="s">
        <v>414</v>
      </c>
      <c r="D80" s="314" t="s">
        <v>415</v>
      </c>
      <c r="E80" s="90">
        <v>4</v>
      </c>
      <c r="F80" s="316" t="s">
        <v>119</v>
      </c>
      <c r="G80" s="328">
        <f>VLOOKUP(A80,'2.2.Evaluación MGGTI'!$A$6:$F$207,6,0)</f>
        <v>1</v>
      </c>
      <c r="H80" s="107"/>
      <c r="I80" s="107"/>
      <c r="J80" s="107"/>
      <c r="K80" s="107"/>
      <c r="L80" s="108"/>
      <c r="M80" s="109"/>
      <c r="N80" s="107"/>
      <c r="O80" s="107"/>
      <c r="P80" s="107"/>
      <c r="Q80" s="108"/>
      <c r="R80" s="157">
        <f>G80</f>
        <v>1</v>
      </c>
      <c r="S80" s="133"/>
      <c r="T80" s="133"/>
      <c r="U80" s="134"/>
      <c r="V80" s="132"/>
      <c r="W80" s="133"/>
      <c r="X80" s="133"/>
      <c r="Y80" s="134"/>
      <c r="Z80" s="132"/>
      <c r="AA80" s="133"/>
      <c r="AB80" s="133"/>
      <c r="AC80" s="134"/>
      <c r="AD80" s="133"/>
      <c r="AE80" s="133"/>
      <c r="AF80" s="134"/>
    </row>
    <row r="81" spans="1:32" ht="99.95" customHeight="1" x14ac:dyDescent="0.2">
      <c r="A81" s="93">
        <v>75</v>
      </c>
      <c r="B81" s="90">
        <v>26</v>
      </c>
      <c r="C81" s="314" t="s">
        <v>416</v>
      </c>
      <c r="D81" s="314" t="s">
        <v>417</v>
      </c>
      <c r="E81" s="90">
        <v>3</v>
      </c>
      <c r="F81" s="316" t="s">
        <v>119</v>
      </c>
      <c r="G81" s="328">
        <f>VLOOKUP(A81,'2.2.Evaluación MGGTI'!$A$6:$F$207,6,0)</f>
        <v>1</v>
      </c>
      <c r="H81" s="107"/>
      <c r="I81" s="107"/>
      <c r="J81" s="107"/>
      <c r="K81" s="107"/>
      <c r="L81" s="108"/>
      <c r="M81" s="132"/>
      <c r="N81" s="133"/>
      <c r="O81" s="133"/>
      <c r="P81" s="133"/>
      <c r="Q81" s="134"/>
      <c r="R81" s="157">
        <f>G81</f>
        <v>1</v>
      </c>
      <c r="S81" s="133"/>
      <c r="T81" s="133"/>
      <c r="U81" s="134"/>
      <c r="V81" s="132"/>
      <c r="W81" s="133"/>
      <c r="X81" s="133"/>
      <c r="Y81" s="134"/>
      <c r="Z81" s="132"/>
      <c r="AA81" s="133"/>
      <c r="AB81" s="133"/>
      <c r="AC81" s="134"/>
      <c r="AD81" s="133"/>
      <c r="AE81" s="133"/>
      <c r="AF81" s="134"/>
    </row>
    <row r="82" spans="1:32" ht="99.95" customHeight="1" x14ac:dyDescent="0.2">
      <c r="A82" s="93">
        <v>76</v>
      </c>
      <c r="B82" s="90">
        <v>26</v>
      </c>
      <c r="C82" s="314" t="s">
        <v>416</v>
      </c>
      <c r="D82" s="314" t="s">
        <v>418</v>
      </c>
      <c r="E82" s="90">
        <v>4</v>
      </c>
      <c r="F82" s="316" t="s">
        <v>119</v>
      </c>
      <c r="G82" s="328">
        <f>VLOOKUP(A82,'2.2.Evaluación MGGTI'!$A$6:$F$207,6,0)</f>
        <v>1</v>
      </c>
      <c r="H82" s="107"/>
      <c r="I82" s="107"/>
      <c r="J82" s="107"/>
      <c r="K82" s="107"/>
      <c r="L82" s="108"/>
      <c r="M82" s="132"/>
      <c r="N82" s="133"/>
      <c r="O82" s="133"/>
      <c r="P82" s="133"/>
      <c r="Q82" s="134"/>
      <c r="R82" s="157">
        <f>G82</f>
        <v>1</v>
      </c>
      <c r="S82" s="133"/>
      <c r="T82" s="133"/>
      <c r="U82" s="134"/>
      <c r="V82" s="132"/>
      <c r="W82" s="133"/>
      <c r="X82" s="133"/>
      <c r="Y82" s="134"/>
      <c r="Z82" s="132"/>
      <c r="AA82" s="133"/>
      <c r="AB82" s="133"/>
      <c r="AC82" s="134"/>
      <c r="AD82" s="133"/>
      <c r="AE82" s="133"/>
      <c r="AF82" s="134"/>
    </row>
    <row r="83" spans="1:32" ht="99.95" customHeight="1" x14ac:dyDescent="0.2">
      <c r="A83" s="93">
        <v>77</v>
      </c>
      <c r="B83" s="90">
        <v>26</v>
      </c>
      <c r="C83" s="314" t="s">
        <v>416</v>
      </c>
      <c r="D83" s="294" t="s">
        <v>419</v>
      </c>
      <c r="E83" s="90">
        <v>5</v>
      </c>
      <c r="F83" s="316" t="s">
        <v>119</v>
      </c>
      <c r="G83" s="328">
        <f>VLOOKUP(A83,'2.2.Evaluación MGGTI'!$A$6:$F$207,6,0)</f>
        <v>1</v>
      </c>
      <c r="H83" s="107"/>
      <c r="I83" s="107"/>
      <c r="J83" s="107"/>
      <c r="K83" s="107"/>
      <c r="L83" s="108"/>
      <c r="M83" s="132"/>
      <c r="N83" s="133"/>
      <c r="O83" s="133"/>
      <c r="P83" s="133"/>
      <c r="Q83" s="134"/>
      <c r="R83" s="157">
        <f>G83</f>
        <v>1</v>
      </c>
      <c r="S83" s="133"/>
      <c r="T83" s="133"/>
      <c r="U83" s="134"/>
      <c r="V83" s="132"/>
      <c r="W83" s="133"/>
      <c r="X83" s="133"/>
      <c r="Y83" s="134"/>
      <c r="Z83" s="132"/>
      <c r="AA83" s="133"/>
      <c r="AB83" s="133"/>
      <c r="AC83" s="134"/>
      <c r="AD83" s="133"/>
      <c r="AE83" s="133"/>
      <c r="AF83" s="134"/>
    </row>
    <row r="84" spans="1:32" ht="99.95" customHeight="1" x14ac:dyDescent="0.2">
      <c r="A84" s="93">
        <v>78</v>
      </c>
      <c r="B84" s="90">
        <v>27</v>
      </c>
      <c r="C84" s="314" t="s">
        <v>420</v>
      </c>
      <c r="D84" s="294" t="s">
        <v>421</v>
      </c>
      <c r="E84" s="90">
        <v>2</v>
      </c>
      <c r="F84" s="316" t="s">
        <v>119</v>
      </c>
      <c r="G84" s="328">
        <f>VLOOKUP(A84,'2.2.Evaluación MGGTI'!$A$6:$F$207,6,0)</f>
        <v>1</v>
      </c>
      <c r="H84" s="107"/>
      <c r="I84" s="107"/>
      <c r="J84" s="107"/>
      <c r="K84" s="107"/>
      <c r="L84" s="108"/>
      <c r="M84" s="132"/>
      <c r="N84" s="133"/>
      <c r="O84" s="133"/>
      <c r="P84" s="133"/>
      <c r="Q84" s="134"/>
      <c r="R84" s="132"/>
      <c r="S84" s="133"/>
      <c r="T84" s="151">
        <f>G84</f>
        <v>1</v>
      </c>
      <c r="U84" s="134"/>
      <c r="V84" s="132"/>
      <c r="W84" s="133"/>
      <c r="X84" s="133"/>
      <c r="Y84" s="134"/>
      <c r="Z84" s="132"/>
      <c r="AA84" s="133"/>
      <c r="AB84" s="133"/>
      <c r="AC84" s="134"/>
      <c r="AD84" s="133"/>
      <c r="AE84" s="133"/>
      <c r="AF84" s="134"/>
    </row>
    <row r="85" spans="1:32" ht="99.95" customHeight="1" x14ac:dyDescent="0.2">
      <c r="A85" s="93">
        <v>79</v>
      </c>
      <c r="B85" s="90">
        <v>27</v>
      </c>
      <c r="C85" s="314" t="s">
        <v>420</v>
      </c>
      <c r="D85" s="294" t="s">
        <v>422</v>
      </c>
      <c r="E85" s="90">
        <v>3</v>
      </c>
      <c r="F85" s="316" t="s">
        <v>119</v>
      </c>
      <c r="G85" s="328">
        <f>VLOOKUP(A85,'2.2.Evaluación MGGTI'!$A$6:$F$207,6,0)</f>
        <v>1</v>
      </c>
      <c r="H85" s="107"/>
      <c r="I85" s="107"/>
      <c r="J85" s="107"/>
      <c r="K85" s="107"/>
      <c r="L85" s="108"/>
      <c r="M85" s="132"/>
      <c r="N85" s="133"/>
      <c r="O85" s="133"/>
      <c r="P85" s="133"/>
      <c r="Q85" s="134"/>
      <c r="R85" s="132"/>
      <c r="S85" s="133"/>
      <c r="T85" s="151">
        <f>G85</f>
        <v>1</v>
      </c>
      <c r="U85" s="134"/>
      <c r="V85" s="132"/>
      <c r="W85" s="133"/>
      <c r="X85" s="133"/>
      <c r="Y85" s="134"/>
      <c r="Z85" s="132"/>
      <c r="AA85" s="133"/>
      <c r="AB85" s="133"/>
      <c r="AC85" s="134"/>
      <c r="AD85" s="133"/>
      <c r="AE85" s="133"/>
      <c r="AF85" s="134"/>
    </row>
    <row r="86" spans="1:32" ht="99.95" customHeight="1" x14ac:dyDescent="0.2">
      <c r="A86" s="93">
        <v>80</v>
      </c>
      <c r="B86" s="90">
        <v>27</v>
      </c>
      <c r="C86" s="314" t="s">
        <v>420</v>
      </c>
      <c r="D86" s="294" t="s">
        <v>423</v>
      </c>
      <c r="E86" s="90">
        <v>4</v>
      </c>
      <c r="F86" s="316" t="s">
        <v>119</v>
      </c>
      <c r="G86" s="328">
        <f>VLOOKUP(A86,'2.2.Evaluación MGGTI'!$A$6:$F$207,6,0)</f>
        <v>1</v>
      </c>
      <c r="H86" s="107"/>
      <c r="I86" s="107"/>
      <c r="J86" s="107"/>
      <c r="K86" s="107"/>
      <c r="L86" s="108"/>
      <c r="M86" s="132"/>
      <c r="N86" s="133"/>
      <c r="O86" s="133"/>
      <c r="P86" s="133"/>
      <c r="Q86" s="134"/>
      <c r="R86" s="132"/>
      <c r="S86" s="133"/>
      <c r="T86" s="151">
        <f>G86</f>
        <v>1</v>
      </c>
      <c r="U86" s="134"/>
      <c r="V86" s="132"/>
      <c r="W86" s="133"/>
      <c r="X86" s="133"/>
      <c r="Y86" s="134"/>
      <c r="Z86" s="132"/>
      <c r="AA86" s="133"/>
      <c r="AB86" s="133"/>
      <c r="AC86" s="134"/>
      <c r="AD86" s="133"/>
      <c r="AE86" s="133"/>
      <c r="AF86" s="134"/>
    </row>
    <row r="87" spans="1:32" ht="99.95" customHeight="1" x14ac:dyDescent="0.2">
      <c r="A87" s="93">
        <v>81</v>
      </c>
      <c r="B87" s="90">
        <v>27</v>
      </c>
      <c r="C87" s="314" t="s">
        <v>420</v>
      </c>
      <c r="D87" s="294" t="s">
        <v>424</v>
      </c>
      <c r="E87" s="90">
        <v>5</v>
      </c>
      <c r="F87" s="316" t="s">
        <v>119</v>
      </c>
      <c r="G87" s="328">
        <f>VLOOKUP(A87,'2.2.Evaluación MGGTI'!$A$6:$F$207,6,0)</f>
        <v>1</v>
      </c>
      <c r="H87" s="107"/>
      <c r="I87" s="107"/>
      <c r="J87" s="107"/>
      <c r="K87" s="107"/>
      <c r="L87" s="108"/>
      <c r="M87" s="132"/>
      <c r="N87" s="133"/>
      <c r="O87" s="133"/>
      <c r="P87" s="133"/>
      <c r="Q87" s="134"/>
      <c r="R87" s="132"/>
      <c r="S87" s="133"/>
      <c r="T87" s="151">
        <f>G87</f>
        <v>1</v>
      </c>
      <c r="U87" s="134"/>
      <c r="V87" s="132"/>
      <c r="W87" s="133"/>
      <c r="X87" s="133"/>
      <c r="Y87" s="134"/>
      <c r="Z87" s="132"/>
      <c r="AA87" s="133"/>
      <c r="AB87" s="133"/>
      <c r="AC87" s="134"/>
      <c r="AD87" s="133"/>
      <c r="AE87" s="133"/>
      <c r="AF87" s="134"/>
    </row>
    <row r="88" spans="1:32" ht="99.95" customHeight="1" x14ac:dyDescent="0.2">
      <c r="A88" s="93">
        <v>82</v>
      </c>
      <c r="B88" s="90">
        <v>28</v>
      </c>
      <c r="C88" s="314" t="s">
        <v>425</v>
      </c>
      <c r="D88" s="314" t="s">
        <v>426</v>
      </c>
      <c r="E88" s="90">
        <v>3</v>
      </c>
      <c r="F88" s="316" t="s">
        <v>119</v>
      </c>
      <c r="G88" s="328">
        <f>VLOOKUP(A88,'2.2.Evaluación MGGTI'!$A$6:$F$207,6,0)</f>
        <v>1</v>
      </c>
      <c r="H88" s="107"/>
      <c r="I88" s="107"/>
      <c r="J88" s="107"/>
      <c r="K88" s="107"/>
      <c r="L88" s="108"/>
      <c r="M88" s="132"/>
      <c r="N88" s="133"/>
      <c r="O88" s="133"/>
      <c r="P88" s="133"/>
      <c r="Q88" s="134"/>
      <c r="R88" s="132"/>
      <c r="S88" s="133"/>
      <c r="T88" s="133"/>
      <c r="U88" s="156">
        <f t="shared" ref="U88:U100" si="6">G88</f>
        <v>1</v>
      </c>
      <c r="V88" s="132"/>
      <c r="W88" s="133"/>
      <c r="X88" s="133"/>
      <c r="Y88" s="134"/>
      <c r="Z88" s="132"/>
      <c r="AA88" s="133"/>
      <c r="AB88" s="133"/>
      <c r="AC88" s="134"/>
      <c r="AD88" s="133"/>
      <c r="AE88" s="133"/>
      <c r="AF88" s="134"/>
    </row>
    <row r="89" spans="1:32" ht="99.95" customHeight="1" x14ac:dyDescent="0.2">
      <c r="A89" s="93">
        <v>83</v>
      </c>
      <c r="B89" s="90">
        <v>28</v>
      </c>
      <c r="C89" s="314" t="s">
        <v>425</v>
      </c>
      <c r="D89" s="314" t="s">
        <v>427</v>
      </c>
      <c r="E89" s="90">
        <v>4</v>
      </c>
      <c r="F89" s="316" t="s">
        <v>119</v>
      </c>
      <c r="G89" s="328">
        <f>VLOOKUP(A89,'2.2.Evaluación MGGTI'!$A$6:$F$207,6,0)</f>
        <v>1</v>
      </c>
      <c r="H89" s="107"/>
      <c r="I89" s="107"/>
      <c r="J89" s="107"/>
      <c r="K89" s="107"/>
      <c r="L89" s="108"/>
      <c r="M89" s="132"/>
      <c r="N89" s="133"/>
      <c r="O89" s="133"/>
      <c r="P89" s="133"/>
      <c r="Q89" s="134"/>
      <c r="R89" s="132"/>
      <c r="S89" s="133"/>
      <c r="T89" s="133"/>
      <c r="U89" s="156">
        <f t="shared" si="6"/>
        <v>1</v>
      </c>
      <c r="V89" s="132"/>
      <c r="W89" s="133"/>
      <c r="X89" s="133"/>
      <c r="Y89" s="134"/>
      <c r="Z89" s="132"/>
      <c r="AA89" s="133"/>
      <c r="AB89" s="133"/>
      <c r="AC89" s="134"/>
      <c r="AD89" s="133"/>
      <c r="AE89" s="133"/>
      <c r="AF89" s="134"/>
    </row>
    <row r="90" spans="1:32" ht="99.95" customHeight="1" x14ac:dyDescent="0.2">
      <c r="A90" s="93">
        <v>84</v>
      </c>
      <c r="B90" s="90">
        <v>28</v>
      </c>
      <c r="C90" s="314" t="s">
        <v>425</v>
      </c>
      <c r="D90" s="314" t="s">
        <v>428</v>
      </c>
      <c r="E90" s="90">
        <v>5</v>
      </c>
      <c r="F90" s="316" t="s">
        <v>119</v>
      </c>
      <c r="G90" s="328">
        <f>VLOOKUP(A90,'2.2.Evaluación MGGTI'!$A$6:$F$207,6,0)</f>
        <v>1</v>
      </c>
      <c r="H90" s="107"/>
      <c r="I90" s="107"/>
      <c r="J90" s="107"/>
      <c r="K90" s="107"/>
      <c r="L90" s="108"/>
      <c r="M90" s="132"/>
      <c r="N90" s="133"/>
      <c r="O90" s="133"/>
      <c r="P90" s="133"/>
      <c r="Q90" s="134"/>
      <c r="R90" s="132"/>
      <c r="S90" s="133"/>
      <c r="T90" s="133"/>
      <c r="U90" s="156">
        <f t="shared" si="6"/>
        <v>1</v>
      </c>
      <c r="V90" s="132"/>
      <c r="W90" s="133"/>
      <c r="X90" s="133"/>
      <c r="Y90" s="134"/>
      <c r="Z90" s="132"/>
      <c r="AA90" s="133"/>
      <c r="AB90" s="133"/>
      <c r="AC90" s="134"/>
      <c r="AD90" s="133"/>
      <c r="AE90" s="133"/>
      <c r="AF90" s="134"/>
    </row>
    <row r="91" spans="1:32" ht="99.95" customHeight="1" x14ac:dyDescent="0.2">
      <c r="A91" s="93">
        <v>85</v>
      </c>
      <c r="B91" s="90">
        <v>29</v>
      </c>
      <c r="C91" s="314" t="s">
        <v>429</v>
      </c>
      <c r="D91" s="314" t="s">
        <v>430</v>
      </c>
      <c r="E91" s="90">
        <v>3</v>
      </c>
      <c r="F91" s="316" t="s">
        <v>119</v>
      </c>
      <c r="G91" s="328">
        <f>VLOOKUP(A91,'2.2.Evaluación MGGTI'!$A$6:$F$207,6,0)</f>
        <v>1</v>
      </c>
      <c r="H91" s="107"/>
      <c r="I91" s="107"/>
      <c r="J91" s="107"/>
      <c r="K91" s="107"/>
      <c r="L91" s="108"/>
      <c r="M91" s="132"/>
      <c r="N91" s="133"/>
      <c r="O91" s="133"/>
      <c r="P91" s="133"/>
      <c r="Q91" s="134"/>
      <c r="R91" s="132"/>
      <c r="S91" s="133"/>
      <c r="T91" s="133"/>
      <c r="U91" s="156">
        <f t="shared" si="6"/>
        <v>1</v>
      </c>
      <c r="V91" s="132"/>
      <c r="W91" s="133"/>
      <c r="X91" s="133"/>
      <c r="Y91" s="134"/>
      <c r="Z91" s="132"/>
      <c r="AA91" s="133"/>
      <c r="AB91" s="133"/>
      <c r="AC91" s="134"/>
      <c r="AD91" s="133"/>
      <c r="AE91" s="133"/>
      <c r="AF91" s="134"/>
    </row>
    <row r="92" spans="1:32" ht="99.95" customHeight="1" x14ac:dyDescent="0.2">
      <c r="A92" s="93">
        <v>86</v>
      </c>
      <c r="B92" s="90">
        <v>29</v>
      </c>
      <c r="C92" s="314" t="s">
        <v>429</v>
      </c>
      <c r="D92" s="314" t="s">
        <v>431</v>
      </c>
      <c r="E92" s="90">
        <v>4</v>
      </c>
      <c r="F92" s="316" t="s">
        <v>119</v>
      </c>
      <c r="G92" s="328">
        <f>VLOOKUP(A92,'2.2.Evaluación MGGTI'!$A$6:$F$207,6,0)</f>
        <v>1</v>
      </c>
      <c r="H92" s="107"/>
      <c r="I92" s="107"/>
      <c r="J92" s="107"/>
      <c r="K92" s="107"/>
      <c r="L92" s="108"/>
      <c r="M92" s="132"/>
      <c r="N92" s="133"/>
      <c r="O92" s="133"/>
      <c r="P92" s="133"/>
      <c r="Q92" s="134"/>
      <c r="R92" s="132"/>
      <c r="S92" s="133"/>
      <c r="T92" s="133"/>
      <c r="U92" s="156">
        <f t="shared" si="6"/>
        <v>1</v>
      </c>
      <c r="V92" s="132"/>
      <c r="W92" s="133"/>
      <c r="X92" s="133"/>
      <c r="Y92" s="134"/>
      <c r="Z92" s="132"/>
      <c r="AA92" s="133"/>
      <c r="AB92" s="133"/>
      <c r="AC92" s="134"/>
      <c r="AD92" s="133"/>
      <c r="AE92" s="133"/>
      <c r="AF92" s="134"/>
    </row>
    <row r="93" spans="1:32" ht="99.95" customHeight="1" x14ac:dyDescent="0.2">
      <c r="A93" s="93">
        <v>87</v>
      </c>
      <c r="B93" s="90">
        <v>30</v>
      </c>
      <c r="C93" s="314" t="s">
        <v>432</v>
      </c>
      <c r="D93" s="294" t="s">
        <v>433</v>
      </c>
      <c r="E93" s="90">
        <v>2</v>
      </c>
      <c r="F93" s="316" t="s">
        <v>119</v>
      </c>
      <c r="G93" s="328">
        <f>VLOOKUP(A93,'2.2.Evaluación MGGTI'!$A$6:$F$207,6,0)</f>
        <v>1</v>
      </c>
      <c r="H93" s="107"/>
      <c r="I93" s="107"/>
      <c r="J93" s="107"/>
      <c r="K93" s="107"/>
      <c r="L93" s="108"/>
      <c r="M93" s="132"/>
      <c r="N93" s="133"/>
      <c r="O93" s="133"/>
      <c r="P93" s="133"/>
      <c r="Q93" s="134"/>
      <c r="R93" s="132"/>
      <c r="S93" s="133"/>
      <c r="T93" s="133"/>
      <c r="U93" s="156">
        <f t="shared" si="6"/>
        <v>1</v>
      </c>
      <c r="V93" s="132"/>
      <c r="W93" s="133"/>
      <c r="X93" s="133"/>
      <c r="Y93" s="134"/>
      <c r="Z93" s="132"/>
      <c r="AA93" s="133"/>
      <c r="AB93" s="133"/>
      <c r="AC93" s="134"/>
      <c r="AD93" s="133"/>
      <c r="AE93" s="133"/>
      <c r="AF93" s="134"/>
    </row>
    <row r="94" spans="1:32" ht="99.95" customHeight="1" x14ac:dyDescent="0.2">
      <c r="A94" s="93">
        <v>88</v>
      </c>
      <c r="B94" s="90">
        <v>30</v>
      </c>
      <c r="C94" s="314" t="s">
        <v>432</v>
      </c>
      <c r="D94" s="314" t="s">
        <v>434</v>
      </c>
      <c r="E94" s="90">
        <v>3</v>
      </c>
      <c r="F94" s="316" t="s">
        <v>119</v>
      </c>
      <c r="G94" s="328">
        <f>VLOOKUP(A94,'2.2.Evaluación MGGTI'!$A$6:$F$207,6,0)</f>
        <v>1</v>
      </c>
      <c r="H94" s="107"/>
      <c r="I94" s="107"/>
      <c r="J94" s="107"/>
      <c r="K94" s="107"/>
      <c r="L94" s="108"/>
      <c r="M94" s="132"/>
      <c r="N94" s="133"/>
      <c r="O94" s="133"/>
      <c r="P94" s="133"/>
      <c r="Q94" s="134"/>
      <c r="R94" s="132"/>
      <c r="S94" s="133"/>
      <c r="T94" s="133"/>
      <c r="U94" s="156">
        <f t="shared" si="6"/>
        <v>1</v>
      </c>
      <c r="V94" s="132"/>
      <c r="W94" s="133"/>
      <c r="X94" s="133"/>
      <c r="Y94" s="134"/>
      <c r="Z94" s="132"/>
      <c r="AA94" s="133"/>
      <c r="AB94" s="133"/>
      <c r="AC94" s="134"/>
      <c r="AD94" s="133"/>
      <c r="AE94" s="133"/>
      <c r="AF94" s="134"/>
    </row>
    <row r="95" spans="1:32" ht="99.95" customHeight="1" x14ac:dyDescent="0.2">
      <c r="A95" s="93">
        <v>89</v>
      </c>
      <c r="B95" s="90">
        <v>30</v>
      </c>
      <c r="C95" s="314" t="s">
        <v>432</v>
      </c>
      <c r="D95" s="314" t="s">
        <v>435</v>
      </c>
      <c r="E95" s="90">
        <v>4</v>
      </c>
      <c r="F95" s="316" t="s">
        <v>119</v>
      </c>
      <c r="G95" s="328">
        <f>VLOOKUP(A95,'2.2.Evaluación MGGTI'!$A$6:$F$207,6,0)</f>
        <v>1</v>
      </c>
      <c r="H95" s="107"/>
      <c r="I95" s="107"/>
      <c r="J95" s="107"/>
      <c r="K95" s="107"/>
      <c r="L95" s="108"/>
      <c r="M95" s="132"/>
      <c r="N95" s="133"/>
      <c r="O95" s="133"/>
      <c r="P95" s="133"/>
      <c r="Q95" s="134"/>
      <c r="R95" s="132"/>
      <c r="S95" s="133"/>
      <c r="T95" s="133"/>
      <c r="U95" s="156">
        <f t="shared" si="6"/>
        <v>1</v>
      </c>
      <c r="V95" s="132"/>
      <c r="W95" s="133"/>
      <c r="X95" s="133"/>
      <c r="Y95" s="134"/>
      <c r="Z95" s="132"/>
      <c r="AA95" s="133"/>
      <c r="AB95" s="133"/>
      <c r="AC95" s="134"/>
      <c r="AD95" s="133"/>
      <c r="AE95" s="133"/>
      <c r="AF95" s="134"/>
    </row>
    <row r="96" spans="1:32" ht="99.95" customHeight="1" x14ac:dyDescent="0.2">
      <c r="A96" s="93">
        <v>90</v>
      </c>
      <c r="B96" s="90">
        <v>30</v>
      </c>
      <c r="C96" s="314" t="s">
        <v>432</v>
      </c>
      <c r="D96" s="314" t="s">
        <v>436</v>
      </c>
      <c r="E96" s="90">
        <v>5</v>
      </c>
      <c r="F96" s="316" t="s">
        <v>119</v>
      </c>
      <c r="G96" s="328">
        <f>VLOOKUP(A96,'2.2.Evaluación MGGTI'!$A$6:$F$207,6,0)</f>
        <v>1</v>
      </c>
      <c r="H96" s="107"/>
      <c r="I96" s="107"/>
      <c r="J96" s="107"/>
      <c r="K96" s="107"/>
      <c r="L96" s="108"/>
      <c r="M96" s="132"/>
      <c r="N96" s="133"/>
      <c r="O96" s="133"/>
      <c r="P96" s="133"/>
      <c r="Q96" s="134"/>
      <c r="R96" s="132"/>
      <c r="S96" s="133"/>
      <c r="T96" s="133"/>
      <c r="U96" s="156">
        <f t="shared" si="6"/>
        <v>1</v>
      </c>
      <c r="V96" s="132"/>
      <c r="W96" s="133"/>
      <c r="X96" s="133"/>
      <c r="Y96" s="134"/>
      <c r="Z96" s="132"/>
      <c r="AA96" s="133"/>
      <c r="AB96" s="133"/>
      <c r="AC96" s="134"/>
      <c r="AD96" s="133"/>
      <c r="AE96" s="133"/>
      <c r="AF96" s="134"/>
    </row>
    <row r="97" spans="1:32" ht="99.95" customHeight="1" x14ac:dyDescent="0.2">
      <c r="A97" s="93">
        <v>91</v>
      </c>
      <c r="B97" s="90">
        <v>31</v>
      </c>
      <c r="C97" s="314" t="s">
        <v>437</v>
      </c>
      <c r="D97" s="314" t="s">
        <v>438</v>
      </c>
      <c r="E97" s="90">
        <v>3</v>
      </c>
      <c r="F97" s="316" t="s">
        <v>119</v>
      </c>
      <c r="G97" s="328">
        <f>VLOOKUP(A97,'2.2.Evaluación MGGTI'!$A$6:$F$207,6,0)</f>
        <v>1</v>
      </c>
      <c r="H97" s="107"/>
      <c r="I97" s="107"/>
      <c r="J97" s="107"/>
      <c r="K97" s="107"/>
      <c r="L97" s="108"/>
      <c r="M97" s="132"/>
      <c r="N97" s="133"/>
      <c r="O97" s="133"/>
      <c r="P97" s="133"/>
      <c r="Q97" s="134"/>
      <c r="R97" s="132"/>
      <c r="S97" s="133"/>
      <c r="T97" s="133"/>
      <c r="U97" s="156">
        <f t="shared" si="6"/>
        <v>1</v>
      </c>
      <c r="V97" s="132"/>
      <c r="W97" s="133"/>
      <c r="X97" s="133"/>
      <c r="Y97" s="134"/>
      <c r="Z97" s="132"/>
      <c r="AA97" s="133"/>
      <c r="AB97" s="133"/>
      <c r="AC97" s="134"/>
      <c r="AD97" s="133"/>
      <c r="AE97" s="133"/>
      <c r="AF97" s="134"/>
    </row>
    <row r="98" spans="1:32" ht="99.95" customHeight="1" x14ac:dyDescent="0.2">
      <c r="A98" s="93">
        <v>92</v>
      </c>
      <c r="B98" s="90">
        <v>32</v>
      </c>
      <c r="C98" s="314" t="s">
        <v>439</v>
      </c>
      <c r="D98" s="294" t="s">
        <v>440</v>
      </c>
      <c r="E98" s="90">
        <v>3</v>
      </c>
      <c r="F98" s="316" t="s">
        <v>119</v>
      </c>
      <c r="G98" s="328">
        <f>VLOOKUP(A98,'2.2.Evaluación MGGTI'!$A$6:$F$207,6,0)</f>
        <v>1</v>
      </c>
      <c r="H98" s="107"/>
      <c r="I98" s="107"/>
      <c r="J98" s="107"/>
      <c r="K98" s="107"/>
      <c r="L98" s="108"/>
      <c r="M98" s="132"/>
      <c r="N98" s="133"/>
      <c r="O98" s="133"/>
      <c r="P98" s="133"/>
      <c r="Q98" s="134"/>
      <c r="R98" s="132"/>
      <c r="S98" s="133"/>
      <c r="T98" s="133"/>
      <c r="U98" s="156">
        <f t="shared" si="6"/>
        <v>1</v>
      </c>
      <c r="V98" s="132"/>
      <c r="W98" s="133"/>
      <c r="X98" s="133"/>
      <c r="Y98" s="134"/>
      <c r="Z98" s="132"/>
      <c r="AA98" s="133"/>
      <c r="AB98" s="133"/>
      <c r="AC98" s="134"/>
      <c r="AD98" s="133"/>
      <c r="AE98" s="133"/>
      <c r="AF98" s="134"/>
    </row>
    <row r="99" spans="1:32" ht="99.95" customHeight="1" x14ac:dyDescent="0.2">
      <c r="A99" s="93">
        <v>93</v>
      </c>
      <c r="B99" s="90">
        <v>32</v>
      </c>
      <c r="C99" s="314" t="s">
        <v>439</v>
      </c>
      <c r="D99" s="314" t="s">
        <v>441</v>
      </c>
      <c r="E99" s="90">
        <v>4</v>
      </c>
      <c r="F99" s="316" t="s">
        <v>119</v>
      </c>
      <c r="G99" s="328">
        <f>VLOOKUP(A99,'2.2.Evaluación MGGTI'!$A$6:$F$207,6,0)</f>
        <v>1</v>
      </c>
      <c r="H99" s="107"/>
      <c r="I99" s="107"/>
      <c r="J99" s="107"/>
      <c r="K99" s="107"/>
      <c r="L99" s="108"/>
      <c r="M99" s="132"/>
      <c r="N99" s="133"/>
      <c r="O99" s="133"/>
      <c r="P99" s="133"/>
      <c r="Q99" s="134"/>
      <c r="R99" s="132"/>
      <c r="S99" s="133"/>
      <c r="T99" s="133"/>
      <c r="U99" s="156">
        <f t="shared" si="6"/>
        <v>1</v>
      </c>
      <c r="V99" s="132"/>
      <c r="W99" s="133"/>
      <c r="X99" s="133"/>
      <c r="Y99" s="134"/>
      <c r="Z99" s="132"/>
      <c r="AA99" s="133"/>
      <c r="AB99" s="133"/>
      <c r="AC99" s="134"/>
      <c r="AD99" s="133"/>
      <c r="AE99" s="133"/>
      <c r="AF99" s="134"/>
    </row>
    <row r="100" spans="1:32" ht="99.95" customHeight="1" x14ac:dyDescent="0.2">
      <c r="A100" s="93">
        <v>94</v>
      </c>
      <c r="B100" s="90">
        <v>32</v>
      </c>
      <c r="C100" s="314" t="s">
        <v>439</v>
      </c>
      <c r="D100" s="314" t="s">
        <v>442</v>
      </c>
      <c r="E100" s="90">
        <v>5</v>
      </c>
      <c r="F100" s="316" t="s">
        <v>119</v>
      </c>
      <c r="G100" s="328">
        <f>VLOOKUP(A100,'2.2.Evaluación MGGTI'!$A$6:$F$207,6,0)</f>
        <v>1</v>
      </c>
      <c r="H100" s="107"/>
      <c r="I100" s="107"/>
      <c r="J100" s="107"/>
      <c r="K100" s="107"/>
      <c r="L100" s="108"/>
      <c r="M100" s="132"/>
      <c r="N100" s="133"/>
      <c r="O100" s="133"/>
      <c r="P100" s="133"/>
      <c r="Q100" s="134"/>
      <c r="R100" s="132"/>
      <c r="S100" s="133"/>
      <c r="T100" s="133"/>
      <c r="U100" s="156">
        <f t="shared" si="6"/>
        <v>1</v>
      </c>
      <c r="V100" s="132"/>
      <c r="W100" s="133"/>
      <c r="X100" s="133"/>
      <c r="Y100" s="134"/>
      <c r="Z100" s="132"/>
      <c r="AA100" s="133"/>
      <c r="AB100" s="133"/>
      <c r="AC100" s="134"/>
      <c r="AD100" s="133"/>
      <c r="AE100" s="133"/>
      <c r="AF100" s="134"/>
    </row>
    <row r="101" spans="1:32" ht="99.95" customHeight="1" x14ac:dyDescent="0.2">
      <c r="A101" s="93">
        <v>95</v>
      </c>
      <c r="B101" s="90">
        <v>33</v>
      </c>
      <c r="C101" s="314" t="s">
        <v>443</v>
      </c>
      <c r="D101" s="314" t="s">
        <v>444</v>
      </c>
      <c r="E101" s="90">
        <v>3</v>
      </c>
      <c r="F101" s="316" t="s">
        <v>119</v>
      </c>
      <c r="G101" s="328">
        <f>VLOOKUP(A101,'2.2.Evaluación MGGTI'!$A$6:$F$207,6,0)</f>
        <v>1</v>
      </c>
      <c r="H101" s="107"/>
      <c r="I101" s="107"/>
      <c r="J101" s="107"/>
      <c r="K101" s="107"/>
      <c r="L101" s="108"/>
      <c r="M101" s="132"/>
      <c r="N101" s="133"/>
      <c r="O101" s="133"/>
      <c r="P101" s="133"/>
      <c r="Q101" s="134"/>
      <c r="R101" s="132"/>
      <c r="S101" s="11">
        <f t="shared" ref="S101:S109" si="7">G101</f>
        <v>1</v>
      </c>
      <c r="T101" s="133"/>
      <c r="U101" s="134"/>
      <c r="V101" s="132"/>
      <c r="W101" s="133"/>
      <c r="X101" s="133"/>
      <c r="Y101" s="134"/>
      <c r="Z101" s="132"/>
      <c r="AA101" s="133"/>
      <c r="AB101" s="133"/>
      <c r="AC101" s="134"/>
      <c r="AD101" s="133"/>
      <c r="AE101" s="133"/>
      <c r="AF101" s="134"/>
    </row>
    <row r="102" spans="1:32" ht="99.95" customHeight="1" x14ac:dyDescent="0.2">
      <c r="A102" s="93">
        <v>96</v>
      </c>
      <c r="B102" s="90">
        <v>33</v>
      </c>
      <c r="C102" s="314" t="s">
        <v>443</v>
      </c>
      <c r="D102" s="314" t="s">
        <v>445</v>
      </c>
      <c r="E102" s="90">
        <v>4</v>
      </c>
      <c r="F102" s="316" t="s">
        <v>119</v>
      </c>
      <c r="G102" s="328">
        <f>VLOOKUP(A102,'2.2.Evaluación MGGTI'!$A$6:$F$207,6,0)</f>
        <v>1</v>
      </c>
      <c r="H102" s="107"/>
      <c r="I102" s="107"/>
      <c r="J102" s="107"/>
      <c r="K102" s="107"/>
      <c r="L102" s="108"/>
      <c r="M102" s="132"/>
      <c r="N102" s="133"/>
      <c r="O102" s="133"/>
      <c r="P102" s="133"/>
      <c r="Q102" s="134"/>
      <c r="R102" s="132"/>
      <c r="S102" s="11">
        <f t="shared" si="7"/>
        <v>1</v>
      </c>
      <c r="T102" s="133"/>
      <c r="U102" s="134"/>
      <c r="V102" s="132"/>
      <c r="W102" s="133"/>
      <c r="X102" s="133"/>
      <c r="Y102" s="134"/>
      <c r="Z102" s="132"/>
      <c r="AA102" s="133"/>
      <c r="AB102" s="133"/>
      <c r="AC102" s="134"/>
      <c r="AD102" s="133"/>
      <c r="AE102" s="133"/>
      <c r="AF102" s="134"/>
    </row>
    <row r="103" spans="1:32" ht="99.95" customHeight="1" x14ac:dyDescent="0.2">
      <c r="A103" s="93">
        <v>97</v>
      </c>
      <c r="B103" s="90">
        <v>33</v>
      </c>
      <c r="C103" s="314" t="s">
        <v>443</v>
      </c>
      <c r="D103" s="314" t="s">
        <v>446</v>
      </c>
      <c r="E103" s="90">
        <v>5</v>
      </c>
      <c r="F103" s="316" t="s">
        <v>119</v>
      </c>
      <c r="G103" s="328">
        <f>VLOOKUP(A103,'2.2.Evaluación MGGTI'!$A$6:$F$207,6,0)</f>
        <v>1</v>
      </c>
      <c r="H103" s="107"/>
      <c r="I103" s="107"/>
      <c r="J103" s="107"/>
      <c r="K103" s="107"/>
      <c r="L103" s="108"/>
      <c r="M103" s="132"/>
      <c r="N103" s="133"/>
      <c r="O103" s="133"/>
      <c r="P103" s="133"/>
      <c r="Q103" s="134"/>
      <c r="R103" s="132"/>
      <c r="S103" s="11">
        <f t="shared" si="7"/>
        <v>1</v>
      </c>
      <c r="T103" s="133"/>
      <c r="U103" s="134"/>
      <c r="V103" s="132"/>
      <c r="W103" s="133"/>
      <c r="X103" s="133"/>
      <c r="Y103" s="134"/>
      <c r="Z103" s="132"/>
      <c r="AA103" s="133"/>
      <c r="AB103" s="133"/>
      <c r="AC103" s="134"/>
      <c r="AD103" s="133"/>
      <c r="AE103" s="133"/>
      <c r="AF103" s="134"/>
    </row>
    <row r="104" spans="1:32" ht="99.95" customHeight="1" x14ac:dyDescent="0.2">
      <c r="A104" s="93">
        <v>98</v>
      </c>
      <c r="B104" s="90">
        <v>34</v>
      </c>
      <c r="C104" s="314" t="s">
        <v>447</v>
      </c>
      <c r="D104" s="314" t="s">
        <v>448</v>
      </c>
      <c r="E104" s="90">
        <v>3</v>
      </c>
      <c r="F104" s="316" t="s">
        <v>119</v>
      </c>
      <c r="G104" s="328">
        <f>VLOOKUP(A104,'2.2.Evaluación MGGTI'!$A$6:$F$207,6,0)</f>
        <v>1</v>
      </c>
      <c r="H104" s="107"/>
      <c r="I104" s="107"/>
      <c r="J104" s="107"/>
      <c r="K104" s="107"/>
      <c r="L104" s="108"/>
      <c r="M104" s="132"/>
      <c r="N104" s="133"/>
      <c r="O104" s="133"/>
      <c r="P104" s="133"/>
      <c r="Q104" s="134"/>
      <c r="R104" s="132"/>
      <c r="S104" s="11">
        <f t="shared" si="7"/>
        <v>1</v>
      </c>
      <c r="T104" s="133"/>
      <c r="U104" s="134"/>
      <c r="V104" s="132"/>
      <c r="W104" s="133"/>
      <c r="X104" s="133"/>
      <c r="Y104" s="134"/>
      <c r="Z104" s="132"/>
      <c r="AA104" s="133"/>
      <c r="AB104" s="133"/>
      <c r="AC104" s="134"/>
      <c r="AD104" s="133"/>
      <c r="AE104" s="133"/>
      <c r="AF104" s="134"/>
    </row>
    <row r="105" spans="1:32" ht="99.95" customHeight="1" x14ac:dyDescent="0.2">
      <c r="A105" s="93">
        <v>99</v>
      </c>
      <c r="B105" s="90">
        <v>34</v>
      </c>
      <c r="C105" s="314" t="s">
        <v>447</v>
      </c>
      <c r="D105" s="314" t="s">
        <v>449</v>
      </c>
      <c r="E105" s="90">
        <v>4</v>
      </c>
      <c r="F105" s="316" t="s">
        <v>119</v>
      </c>
      <c r="G105" s="328">
        <f>VLOOKUP(A105,'2.2.Evaluación MGGTI'!$A$6:$F$207,6,0)</f>
        <v>1</v>
      </c>
      <c r="H105" s="107"/>
      <c r="I105" s="107"/>
      <c r="J105" s="107"/>
      <c r="K105" s="107"/>
      <c r="L105" s="108"/>
      <c r="M105" s="132"/>
      <c r="N105" s="133"/>
      <c r="O105" s="133"/>
      <c r="P105" s="133"/>
      <c r="Q105" s="134"/>
      <c r="R105" s="132"/>
      <c r="S105" s="11">
        <f t="shared" si="7"/>
        <v>1</v>
      </c>
      <c r="T105" s="133"/>
      <c r="U105" s="134"/>
      <c r="V105" s="132"/>
      <c r="W105" s="133"/>
      <c r="X105" s="133"/>
      <c r="Y105" s="134"/>
      <c r="Z105" s="132"/>
      <c r="AA105" s="133"/>
      <c r="AB105" s="133"/>
      <c r="AC105" s="134"/>
      <c r="AD105" s="133"/>
      <c r="AE105" s="133"/>
      <c r="AF105" s="134"/>
    </row>
    <row r="106" spans="1:32" ht="99.95" customHeight="1" x14ac:dyDescent="0.2">
      <c r="A106" s="93">
        <v>100</v>
      </c>
      <c r="B106" s="90">
        <v>34</v>
      </c>
      <c r="C106" s="314" t="s">
        <v>447</v>
      </c>
      <c r="D106" s="314" t="s">
        <v>450</v>
      </c>
      <c r="E106" s="90">
        <v>5</v>
      </c>
      <c r="F106" s="316" t="s">
        <v>119</v>
      </c>
      <c r="G106" s="328">
        <f>VLOOKUP(A106,'2.2.Evaluación MGGTI'!$A$6:$F$207,6,0)</f>
        <v>1</v>
      </c>
      <c r="H106" s="107"/>
      <c r="I106" s="107"/>
      <c r="J106" s="107"/>
      <c r="K106" s="107"/>
      <c r="L106" s="108"/>
      <c r="M106" s="132"/>
      <c r="N106" s="133"/>
      <c r="O106" s="133"/>
      <c r="P106" s="133"/>
      <c r="Q106" s="134"/>
      <c r="R106" s="132"/>
      <c r="S106" s="11">
        <f t="shared" si="7"/>
        <v>1</v>
      </c>
      <c r="T106" s="133"/>
      <c r="U106" s="134"/>
      <c r="V106" s="132"/>
      <c r="W106" s="133"/>
      <c r="X106" s="133"/>
      <c r="Y106" s="134"/>
      <c r="Z106" s="132"/>
      <c r="AA106" s="133"/>
      <c r="AB106" s="133"/>
      <c r="AC106" s="134"/>
      <c r="AD106" s="133"/>
      <c r="AE106" s="133"/>
      <c r="AF106" s="134"/>
    </row>
    <row r="107" spans="1:32" ht="99.95" customHeight="1" x14ac:dyDescent="0.2">
      <c r="A107" s="93">
        <v>101</v>
      </c>
      <c r="B107" s="90">
        <v>35</v>
      </c>
      <c r="C107" s="314" t="s">
        <v>451</v>
      </c>
      <c r="D107" s="314" t="s">
        <v>452</v>
      </c>
      <c r="E107" s="90">
        <v>3</v>
      </c>
      <c r="F107" s="316" t="s">
        <v>119</v>
      </c>
      <c r="G107" s="328">
        <f>VLOOKUP(A107,'2.2.Evaluación MGGTI'!$A$6:$F$207,6,0)</f>
        <v>1</v>
      </c>
      <c r="H107" s="107"/>
      <c r="I107" s="107"/>
      <c r="J107" s="107"/>
      <c r="K107" s="107"/>
      <c r="L107" s="108"/>
      <c r="M107" s="132"/>
      <c r="N107" s="133"/>
      <c r="O107" s="133"/>
      <c r="P107" s="133"/>
      <c r="Q107" s="134"/>
      <c r="R107" s="132"/>
      <c r="S107" s="11">
        <f t="shared" si="7"/>
        <v>1</v>
      </c>
      <c r="T107" s="133"/>
      <c r="U107" s="134"/>
      <c r="V107" s="132"/>
      <c r="W107" s="133"/>
      <c r="X107" s="133"/>
      <c r="Y107" s="134"/>
      <c r="Z107" s="132"/>
      <c r="AA107" s="133"/>
      <c r="AB107" s="133"/>
      <c r="AC107" s="134"/>
      <c r="AD107" s="133"/>
      <c r="AE107" s="133"/>
      <c r="AF107" s="134"/>
    </row>
    <row r="108" spans="1:32" ht="99.95" customHeight="1" x14ac:dyDescent="0.2">
      <c r="A108" s="93">
        <v>102</v>
      </c>
      <c r="B108" s="90">
        <v>35</v>
      </c>
      <c r="C108" s="314" t="s">
        <v>451</v>
      </c>
      <c r="D108" s="314" t="s">
        <v>453</v>
      </c>
      <c r="E108" s="90">
        <v>4</v>
      </c>
      <c r="F108" s="316" t="s">
        <v>119</v>
      </c>
      <c r="G108" s="328">
        <f>VLOOKUP(A108,'2.2.Evaluación MGGTI'!$A$6:$F$207,6,0)</f>
        <v>1</v>
      </c>
      <c r="H108" s="107"/>
      <c r="I108" s="107"/>
      <c r="J108" s="107"/>
      <c r="K108" s="107"/>
      <c r="L108" s="108"/>
      <c r="M108" s="132"/>
      <c r="N108" s="133"/>
      <c r="O108" s="133"/>
      <c r="P108" s="133"/>
      <c r="Q108" s="134"/>
      <c r="R108" s="132"/>
      <c r="S108" s="11">
        <f t="shared" si="7"/>
        <v>1</v>
      </c>
      <c r="T108" s="133"/>
      <c r="U108" s="134"/>
      <c r="V108" s="132"/>
      <c r="W108" s="133"/>
      <c r="X108" s="133"/>
      <c r="Y108" s="134"/>
      <c r="Z108" s="132"/>
      <c r="AA108" s="133"/>
      <c r="AB108" s="133"/>
      <c r="AC108" s="134"/>
      <c r="AD108" s="133"/>
      <c r="AE108" s="133"/>
      <c r="AF108" s="134"/>
    </row>
    <row r="109" spans="1:32" ht="99.95" customHeight="1" x14ac:dyDescent="0.2">
      <c r="A109" s="93">
        <v>103</v>
      </c>
      <c r="B109" s="90">
        <v>35</v>
      </c>
      <c r="C109" s="314" t="s">
        <v>451</v>
      </c>
      <c r="D109" s="314" t="s">
        <v>454</v>
      </c>
      <c r="E109" s="90">
        <v>5</v>
      </c>
      <c r="F109" s="316" t="s">
        <v>119</v>
      </c>
      <c r="G109" s="328">
        <f>VLOOKUP(A109,'2.2.Evaluación MGGTI'!$A$6:$F$207,6,0)</f>
        <v>1</v>
      </c>
      <c r="H109" s="107"/>
      <c r="I109" s="107"/>
      <c r="J109" s="107"/>
      <c r="K109" s="107"/>
      <c r="L109" s="108"/>
      <c r="M109" s="132"/>
      <c r="N109" s="133"/>
      <c r="O109" s="133"/>
      <c r="P109" s="133"/>
      <c r="Q109" s="134"/>
      <c r="R109" s="132"/>
      <c r="S109" s="11">
        <f t="shared" si="7"/>
        <v>1</v>
      </c>
      <c r="T109" s="133"/>
      <c r="U109" s="134"/>
      <c r="V109" s="132"/>
      <c r="W109" s="133"/>
      <c r="X109" s="133"/>
      <c r="Y109" s="133"/>
      <c r="Z109" s="132"/>
      <c r="AA109" s="133"/>
      <c r="AB109" s="133"/>
      <c r="AC109" s="134"/>
      <c r="AD109" s="133"/>
      <c r="AE109" s="133"/>
      <c r="AF109" s="134"/>
    </row>
    <row r="110" spans="1:32" ht="99.95" customHeight="1" x14ac:dyDescent="0.2">
      <c r="A110" s="93">
        <v>104</v>
      </c>
      <c r="B110" s="90">
        <v>36</v>
      </c>
      <c r="C110" s="314" t="s">
        <v>455</v>
      </c>
      <c r="D110" s="119" t="s">
        <v>456</v>
      </c>
      <c r="E110" s="90">
        <v>2</v>
      </c>
      <c r="F110" s="316" t="s">
        <v>457</v>
      </c>
      <c r="G110" s="328">
        <f>VLOOKUP(A110,'2.2.Evaluación MGGTI'!$A$6:$F$207,6,0)</f>
        <v>1</v>
      </c>
      <c r="H110" s="107"/>
      <c r="I110" s="107"/>
      <c r="J110" s="107"/>
      <c r="K110" s="107"/>
      <c r="L110" s="108"/>
      <c r="M110" s="132"/>
      <c r="N110" s="133"/>
      <c r="O110" s="133"/>
      <c r="P110" s="133"/>
      <c r="Q110" s="134"/>
      <c r="R110" s="132"/>
      <c r="S110" s="133"/>
      <c r="T110" s="133"/>
      <c r="U110" s="134"/>
      <c r="V110" s="157">
        <f t="shared" ref="V110:V119" si="8">G110</f>
        <v>1</v>
      </c>
      <c r="W110" s="133"/>
      <c r="X110" s="133"/>
      <c r="Y110" s="134"/>
      <c r="Z110" s="132"/>
      <c r="AA110" s="133"/>
      <c r="AB110" s="133"/>
      <c r="AC110" s="134"/>
      <c r="AD110" s="133"/>
      <c r="AE110" s="133"/>
      <c r="AF110" s="134"/>
    </row>
    <row r="111" spans="1:32" ht="99.95" customHeight="1" x14ac:dyDescent="0.2">
      <c r="A111" s="93">
        <v>105</v>
      </c>
      <c r="B111" s="90">
        <v>36</v>
      </c>
      <c r="C111" s="314" t="s">
        <v>455</v>
      </c>
      <c r="D111" s="314" t="s">
        <v>458</v>
      </c>
      <c r="E111" s="90">
        <v>3</v>
      </c>
      <c r="F111" s="316" t="s">
        <v>457</v>
      </c>
      <c r="G111" s="328">
        <f>VLOOKUP(A111,'2.2.Evaluación MGGTI'!$A$6:$F$207,6,0)</f>
        <v>1</v>
      </c>
      <c r="H111" s="107"/>
      <c r="I111" s="107"/>
      <c r="J111" s="107"/>
      <c r="K111" s="107"/>
      <c r="L111" s="108"/>
      <c r="M111" s="132"/>
      <c r="N111" s="133"/>
      <c r="O111" s="133"/>
      <c r="P111" s="133"/>
      <c r="Q111" s="134"/>
      <c r="R111" s="132"/>
      <c r="S111" s="133"/>
      <c r="T111" s="133"/>
      <c r="U111" s="134"/>
      <c r="V111" s="157">
        <f t="shared" si="8"/>
        <v>1</v>
      </c>
      <c r="W111" s="133"/>
      <c r="X111" s="133"/>
      <c r="Y111" s="134"/>
      <c r="Z111" s="132"/>
      <c r="AA111" s="133"/>
      <c r="AB111" s="133"/>
      <c r="AC111" s="134"/>
      <c r="AD111" s="133"/>
      <c r="AE111" s="133"/>
      <c r="AF111" s="134"/>
    </row>
    <row r="112" spans="1:32" ht="99.95" customHeight="1" x14ac:dyDescent="0.2">
      <c r="A112" s="93">
        <v>106</v>
      </c>
      <c r="B112" s="90">
        <v>36</v>
      </c>
      <c r="C112" s="314" t="s">
        <v>455</v>
      </c>
      <c r="D112" s="314" t="s">
        <v>459</v>
      </c>
      <c r="E112" s="90">
        <v>4</v>
      </c>
      <c r="F112" s="316" t="s">
        <v>457</v>
      </c>
      <c r="G112" s="328">
        <f>VLOOKUP(A112,'2.2.Evaluación MGGTI'!$A$6:$F$207,6,0)</f>
        <v>1</v>
      </c>
      <c r="H112" s="107"/>
      <c r="I112" s="107"/>
      <c r="J112" s="107"/>
      <c r="K112" s="107"/>
      <c r="L112" s="108"/>
      <c r="M112" s="132"/>
      <c r="N112" s="133"/>
      <c r="O112" s="133"/>
      <c r="P112" s="133"/>
      <c r="Q112" s="134"/>
      <c r="R112" s="132"/>
      <c r="S112" s="133"/>
      <c r="T112" s="133"/>
      <c r="U112" s="134"/>
      <c r="V112" s="157">
        <f t="shared" si="8"/>
        <v>1</v>
      </c>
      <c r="W112" s="133"/>
      <c r="X112" s="133"/>
      <c r="Y112" s="134"/>
      <c r="Z112" s="132"/>
      <c r="AA112" s="133"/>
      <c r="AB112" s="133"/>
      <c r="AC112" s="134"/>
      <c r="AD112" s="133"/>
      <c r="AE112" s="133"/>
      <c r="AF112" s="134"/>
    </row>
    <row r="113" spans="1:32" ht="99.95" customHeight="1" x14ac:dyDescent="0.2">
      <c r="A113" s="93">
        <v>107</v>
      </c>
      <c r="B113" s="90">
        <v>36</v>
      </c>
      <c r="C113" s="314" t="s">
        <v>455</v>
      </c>
      <c r="D113" s="314" t="s">
        <v>460</v>
      </c>
      <c r="E113" s="90">
        <v>5</v>
      </c>
      <c r="F113" s="316" t="s">
        <v>457</v>
      </c>
      <c r="G113" s="328">
        <f>VLOOKUP(A113,'2.2.Evaluación MGGTI'!$A$6:$F$207,6,0)</f>
        <v>1</v>
      </c>
      <c r="H113" s="107"/>
      <c r="I113" s="107"/>
      <c r="J113" s="107"/>
      <c r="K113" s="107"/>
      <c r="L113" s="108"/>
      <c r="M113" s="132"/>
      <c r="N113" s="133"/>
      <c r="O113" s="133"/>
      <c r="P113" s="133"/>
      <c r="Q113" s="134"/>
      <c r="R113" s="132"/>
      <c r="S113" s="133"/>
      <c r="T113" s="133"/>
      <c r="U113" s="134"/>
      <c r="V113" s="157">
        <f t="shared" si="8"/>
        <v>1</v>
      </c>
      <c r="W113" s="133"/>
      <c r="X113" s="133"/>
      <c r="Y113" s="134"/>
      <c r="Z113" s="132"/>
      <c r="AA113" s="133"/>
      <c r="AB113" s="133"/>
      <c r="AC113" s="134"/>
      <c r="AD113" s="133"/>
      <c r="AE113" s="133"/>
      <c r="AF113" s="134"/>
    </row>
    <row r="114" spans="1:32" ht="99.95" customHeight="1" x14ac:dyDescent="0.2">
      <c r="A114" s="93">
        <v>108</v>
      </c>
      <c r="B114" s="90">
        <v>37</v>
      </c>
      <c r="C114" s="314" t="s">
        <v>461</v>
      </c>
      <c r="D114" s="314" t="s">
        <v>462</v>
      </c>
      <c r="E114" s="90">
        <v>2</v>
      </c>
      <c r="F114" s="316" t="s">
        <v>457</v>
      </c>
      <c r="G114" s="328">
        <f>VLOOKUP(A114,'2.2.Evaluación MGGTI'!$A$6:$F$207,6,0)</f>
        <v>1</v>
      </c>
      <c r="H114" s="107"/>
      <c r="I114" s="107"/>
      <c r="J114" s="107"/>
      <c r="K114" s="107"/>
      <c r="L114" s="108"/>
      <c r="M114" s="132"/>
      <c r="N114" s="133"/>
      <c r="O114" s="133"/>
      <c r="P114" s="133"/>
      <c r="Q114" s="134"/>
      <c r="R114" s="132"/>
      <c r="S114" s="133"/>
      <c r="T114" s="133"/>
      <c r="U114" s="134"/>
      <c r="V114" s="157">
        <f t="shared" si="8"/>
        <v>1</v>
      </c>
      <c r="W114" s="133"/>
      <c r="X114" s="133"/>
      <c r="Y114" s="134"/>
      <c r="Z114" s="132"/>
      <c r="AA114" s="133"/>
      <c r="AB114" s="133"/>
      <c r="AC114" s="134"/>
      <c r="AD114" s="133"/>
      <c r="AE114" s="133"/>
      <c r="AF114" s="134"/>
    </row>
    <row r="115" spans="1:32" ht="99.95" customHeight="1" x14ac:dyDescent="0.2">
      <c r="A115" s="93">
        <v>109</v>
      </c>
      <c r="B115" s="90">
        <v>37</v>
      </c>
      <c r="C115" s="314" t="s">
        <v>461</v>
      </c>
      <c r="D115" s="314" t="s">
        <v>463</v>
      </c>
      <c r="E115" s="90">
        <v>3</v>
      </c>
      <c r="F115" s="316" t="s">
        <v>457</v>
      </c>
      <c r="G115" s="328">
        <f>VLOOKUP(A115,'2.2.Evaluación MGGTI'!$A$6:$F$207,6,0)</f>
        <v>1</v>
      </c>
      <c r="H115" s="107"/>
      <c r="I115" s="107"/>
      <c r="J115" s="107"/>
      <c r="K115" s="107"/>
      <c r="L115" s="108"/>
      <c r="M115" s="132"/>
      <c r="N115" s="133"/>
      <c r="O115" s="133"/>
      <c r="P115" s="133"/>
      <c r="Q115" s="134"/>
      <c r="R115" s="132"/>
      <c r="S115" s="133"/>
      <c r="T115" s="133"/>
      <c r="U115" s="134"/>
      <c r="V115" s="157">
        <f t="shared" si="8"/>
        <v>1</v>
      </c>
      <c r="W115" s="133"/>
      <c r="X115" s="133"/>
      <c r="Y115" s="134"/>
      <c r="Z115" s="132"/>
      <c r="AA115" s="133"/>
      <c r="AB115" s="133"/>
      <c r="AC115" s="134"/>
      <c r="AD115" s="133"/>
      <c r="AE115" s="133"/>
      <c r="AF115" s="134"/>
    </row>
    <row r="116" spans="1:32" ht="99.95" customHeight="1" x14ac:dyDescent="0.2">
      <c r="A116" s="93">
        <v>110</v>
      </c>
      <c r="B116" s="90">
        <v>37</v>
      </c>
      <c r="C116" s="314" t="s">
        <v>461</v>
      </c>
      <c r="D116" s="314" t="s">
        <v>464</v>
      </c>
      <c r="E116" s="90">
        <v>4</v>
      </c>
      <c r="F116" s="316" t="s">
        <v>457</v>
      </c>
      <c r="G116" s="328">
        <f>VLOOKUP(A116,'2.2.Evaluación MGGTI'!$A$6:$F$207,6,0)</f>
        <v>1</v>
      </c>
      <c r="H116" s="107"/>
      <c r="I116" s="107"/>
      <c r="J116" s="107"/>
      <c r="K116" s="107"/>
      <c r="L116" s="108"/>
      <c r="M116" s="132"/>
      <c r="N116" s="133"/>
      <c r="O116" s="133"/>
      <c r="P116" s="133"/>
      <c r="Q116" s="134"/>
      <c r="R116" s="132"/>
      <c r="S116" s="133"/>
      <c r="T116" s="133"/>
      <c r="U116" s="134"/>
      <c r="V116" s="157">
        <f t="shared" si="8"/>
        <v>1</v>
      </c>
      <c r="W116" s="133"/>
      <c r="X116" s="133"/>
      <c r="Y116" s="134"/>
      <c r="Z116" s="132"/>
      <c r="AA116" s="133"/>
      <c r="AB116" s="133"/>
      <c r="AC116" s="134"/>
      <c r="AD116" s="133"/>
      <c r="AE116" s="133"/>
      <c r="AF116" s="134"/>
    </row>
    <row r="117" spans="1:32" ht="99.95" customHeight="1" x14ac:dyDescent="0.2">
      <c r="A117" s="93">
        <v>111</v>
      </c>
      <c r="B117" s="90">
        <v>37</v>
      </c>
      <c r="C117" s="314" t="s">
        <v>461</v>
      </c>
      <c r="D117" s="314" t="s">
        <v>465</v>
      </c>
      <c r="E117" s="90">
        <v>5</v>
      </c>
      <c r="F117" s="316" t="s">
        <v>457</v>
      </c>
      <c r="G117" s="328">
        <f>VLOOKUP(A117,'2.2.Evaluación MGGTI'!$A$6:$F$207,6,0)</f>
        <v>1</v>
      </c>
      <c r="H117" s="107"/>
      <c r="I117" s="107"/>
      <c r="J117" s="107"/>
      <c r="K117" s="107"/>
      <c r="L117" s="108"/>
      <c r="M117" s="132"/>
      <c r="N117" s="133"/>
      <c r="O117" s="133"/>
      <c r="P117" s="133"/>
      <c r="Q117" s="134"/>
      <c r="R117" s="132"/>
      <c r="S117" s="133"/>
      <c r="T117" s="133"/>
      <c r="U117" s="134"/>
      <c r="V117" s="157">
        <f t="shared" si="8"/>
        <v>1</v>
      </c>
      <c r="W117" s="133"/>
      <c r="X117" s="133"/>
      <c r="Y117" s="134"/>
      <c r="Z117" s="132"/>
      <c r="AA117" s="133"/>
      <c r="AB117" s="133"/>
      <c r="AC117" s="134"/>
      <c r="AD117" s="133"/>
      <c r="AE117" s="133"/>
      <c r="AF117" s="134"/>
    </row>
    <row r="118" spans="1:32" ht="99.95" customHeight="1" x14ac:dyDescent="0.2">
      <c r="A118" s="93">
        <v>112</v>
      </c>
      <c r="B118" s="90">
        <v>38</v>
      </c>
      <c r="C118" s="314" t="s">
        <v>466</v>
      </c>
      <c r="D118" s="314" t="s">
        <v>467</v>
      </c>
      <c r="E118" s="90">
        <v>3</v>
      </c>
      <c r="F118" s="316" t="s">
        <v>457</v>
      </c>
      <c r="G118" s="328">
        <f>VLOOKUP(A118,'2.2.Evaluación MGGTI'!$A$6:$F$207,6,0)</f>
        <v>1</v>
      </c>
      <c r="H118" s="107"/>
      <c r="I118" s="107"/>
      <c r="J118" s="107"/>
      <c r="K118" s="107"/>
      <c r="L118" s="108"/>
      <c r="M118" s="132"/>
      <c r="N118" s="133"/>
      <c r="O118" s="133"/>
      <c r="P118" s="133"/>
      <c r="Q118" s="134"/>
      <c r="R118" s="132"/>
      <c r="S118" s="133"/>
      <c r="T118" s="133"/>
      <c r="U118" s="134"/>
      <c r="V118" s="157">
        <f t="shared" si="8"/>
        <v>1</v>
      </c>
      <c r="W118" s="133"/>
      <c r="X118" s="133"/>
      <c r="Y118" s="134"/>
      <c r="Z118" s="132"/>
      <c r="AA118" s="133"/>
      <c r="AB118" s="133"/>
      <c r="AC118" s="134"/>
      <c r="AD118" s="133"/>
      <c r="AE118" s="133"/>
      <c r="AF118" s="134"/>
    </row>
    <row r="119" spans="1:32" ht="99.95" customHeight="1" x14ac:dyDescent="0.2">
      <c r="A119" s="93">
        <v>113</v>
      </c>
      <c r="B119" s="90">
        <v>38</v>
      </c>
      <c r="C119" s="314" t="s">
        <v>466</v>
      </c>
      <c r="D119" s="314" t="s">
        <v>468</v>
      </c>
      <c r="E119" s="90">
        <v>4</v>
      </c>
      <c r="F119" s="316" t="s">
        <v>457</v>
      </c>
      <c r="G119" s="328">
        <f>VLOOKUP(A119,'2.2.Evaluación MGGTI'!$A$6:$F$207,6,0)</f>
        <v>1</v>
      </c>
      <c r="H119" s="107"/>
      <c r="I119" s="107"/>
      <c r="J119" s="107"/>
      <c r="K119" s="107"/>
      <c r="L119" s="108"/>
      <c r="M119" s="132"/>
      <c r="N119" s="133"/>
      <c r="O119" s="133"/>
      <c r="P119" s="133"/>
      <c r="Q119" s="134"/>
      <c r="R119" s="132"/>
      <c r="S119" s="133"/>
      <c r="T119" s="133"/>
      <c r="U119" s="134"/>
      <c r="V119" s="157">
        <f t="shared" si="8"/>
        <v>1</v>
      </c>
      <c r="W119" s="133"/>
      <c r="X119" s="133"/>
      <c r="Y119" s="134"/>
      <c r="Z119" s="132"/>
      <c r="AA119" s="133"/>
      <c r="AB119" s="133"/>
      <c r="AC119" s="134"/>
      <c r="AD119" s="133"/>
      <c r="AE119" s="133"/>
      <c r="AF119" s="134"/>
    </row>
    <row r="120" spans="1:32" ht="99.95" customHeight="1" x14ac:dyDescent="0.2">
      <c r="A120" s="93">
        <v>114</v>
      </c>
      <c r="B120" s="90">
        <v>39</v>
      </c>
      <c r="C120" s="314" t="s">
        <v>469</v>
      </c>
      <c r="D120" s="314" t="s">
        <v>470</v>
      </c>
      <c r="E120" s="90">
        <v>3</v>
      </c>
      <c r="F120" s="316" t="s">
        <v>457</v>
      </c>
      <c r="G120" s="328">
        <f>VLOOKUP(A120,'2.2.Evaluación MGGTI'!$A$6:$F$207,6,0)</f>
        <v>1</v>
      </c>
      <c r="H120" s="107"/>
      <c r="I120" s="107"/>
      <c r="J120" s="107"/>
      <c r="K120" s="107"/>
      <c r="L120" s="108"/>
      <c r="M120" s="132"/>
      <c r="N120" s="133"/>
      <c r="O120" s="133"/>
      <c r="P120" s="133"/>
      <c r="Q120" s="134"/>
      <c r="R120" s="132"/>
      <c r="S120" s="133"/>
      <c r="T120" s="133"/>
      <c r="U120" s="134"/>
      <c r="V120" s="132"/>
      <c r="W120" s="11">
        <f t="shared" ref="W120:W128" si="9">G120</f>
        <v>1</v>
      </c>
      <c r="X120" s="133"/>
      <c r="Y120" s="134"/>
      <c r="Z120" s="132"/>
      <c r="AA120" s="133"/>
      <c r="AB120" s="133"/>
      <c r="AC120" s="134"/>
      <c r="AD120" s="133"/>
      <c r="AE120" s="133"/>
      <c r="AF120" s="134"/>
    </row>
    <row r="121" spans="1:32" ht="99.95" customHeight="1" x14ac:dyDescent="0.2">
      <c r="A121" s="93">
        <v>115</v>
      </c>
      <c r="B121" s="90">
        <v>39</v>
      </c>
      <c r="C121" s="314" t="s">
        <v>469</v>
      </c>
      <c r="D121" s="314" t="s">
        <v>471</v>
      </c>
      <c r="E121" s="90">
        <v>4</v>
      </c>
      <c r="F121" s="316" t="s">
        <v>457</v>
      </c>
      <c r="G121" s="328">
        <f>VLOOKUP(A121,'2.2.Evaluación MGGTI'!$A$6:$F$207,6,0)</f>
        <v>1</v>
      </c>
      <c r="H121" s="107"/>
      <c r="I121" s="107"/>
      <c r="J121" s="107"/>
      <c r="K121" s="107"/>
      <c r="L121" s="108"/>
      <c r="M121" s="132"/>
      <c r="N121" s="133"/>
      <c r="O121" s="133"/>
      <c r="P121" s="133"/>
      <c r="Q121" s="134"/>
      <c r="R121" s="132"/>
      <c r="S121" s="133"/>
      <c r="T121" s="133"/>
      <c r="U121" s="134"/>
      <c r="V121" s="132"/>
      <c r="W121" s="11">
        <f t="shared" si="9"/>
        <v>1</v>
      </c>
      <c r="X121" s="133"/>
      <c r="Y121" s="134"/>
      <c r="Z121" s="132"/>
      <c r="AA121" s="133"/>
      <c r="AB121" s="133"/>
      <c r="AC121" s="134"/>
      <c r="AD121" s="133"/>
      <c r="AE121" s="133"/>
      <c r="AF121" s="134"/>
    </row>
    <row r="122" spans="1:32" ht="99.95" customHeight="1" x14ac:dyDescent="0.2">
      <c r="A122" s="93">
        <v>116</v>
      </c>
      <c r="B122" s="90">
        <v>39</v>
      </c>
      <c r="C122" s="314" t="s">
        <v>469</v>
      </c>
      <c r="D122" s="314" t="s">
        <v>472</v>
      </c>
      <c r="E122" s="90">
        <v>4</v>
      </c>
      <c r="F122" s="316" t="s">
        <v>457</v>
      </c>
      <c r="G122" s="328">
        <f>VLOOKUP(A122,'2.2.Evaluación MGGTI'!$A$6:$F$207,6,0)</f>
        <v>1</v>
      </c>
      <c r="H122" s="107"/>
      <c r="I122" s="107"/>
      <c r="J122" s="107"/>
      <c r="K122" s="107"/>
      <c r="L122" s="108"/>
      <c r="M122" s="132"/>
      <c r="N122" s="133"/>
      <c r="O122" s="133"/>
      <c r="P122" s="133"/>
      <c r="Q122" s="134"/>
      <c r="R122" s="132"/>
      <c r="S122" s="133"/>
      <c r="T122" s="133"/>
      <c r="U122" s="134"/>
      <c r="V122" s="132"/>
      <c r="W122" s="11">
        <f t="shared" si="9"/>
        <v>1</v>
      </c>
      <c r="X122" s="133"/>
      <c r="Y122" s="134"/>
      <c r="Z122" s="132"/>
      <c r="AA122" s="133"/>
      <c r="AB122" s="133"/>
      <c r="AC122" s="134"/>
      <c r="AD122" s="133"/>
      <c r="AE122" s="133"/>
      <c r="AF122" s="134"/>
    </row>
    <row r="123" spans="1:32" ht="99.95" customHeight="1" x14ac:dyDescent="0.2">
      <c r="A123" s="93">
        <v>117</v>
      </c>
      <c r="B123" s="90">
        <v>40</v>
      </c>
      <c r="C123" s="314" t="s">
        <v>473</v>
      </c>
      <c r="D123" s="314" t="s">
        <v>474</v>
      </c>
      <c r="E123" s="90">
        <v>3</v>
      </c>
      <c r="F123" s="316" t="s">
        <v>457</v>
      </c>
      <c r="G123" s="328">
        <f>VLOOKUP(A123,'2.2.Evaluación MGGTI'!$A$6:$F$207,6,0)</f>
        <v>1</v>
      </c>
      <c r="H123" s="107"/>
      <c r="I123" s="107"/>
      <c r="J123" s="107"/>
      <c r="K123" s="107"/>
      <c r="L123" s="108"/>
      <c r="M123" s="132"/>
      <c r="N123" s="133"/>
      <c r="O123" s="133"/>
      <c r="P123" s="133"/>
      <c r="Q123" s="134"/>
      <c r="R123" s="132"/>
      <c r="S123" s="133"/>
      <c r="T123" s="133"/>
      <c r="U123" s="134"/>
      <c r="V123" s="132"/>
      <c r="W123" s="11">
        <f t="shared" si="9"/>
        <v>1</v>
      </c>
      <c r="X123" s="133"/>
      <c r="Y123" s="134"/>
      <c r="Z123" s="132"/>
      <c r="AA123" s="133"/>
      <c r="AB123" s="133"/>
      <c r="AC123" s="134"/>
      <c r="AD123" s="133"/>
      <c r="AE123" s="133"/>
      <c r="AF123" s="134"/>
    </row>
    <row r="124" spans="1:32" ht="99.95" customHeight="1" x14ac:dyDescent="0.2">
      <c r="A124" s="93">
        <v>118</v>
      </c>
      <c r="B124" s="90">
        <v>40</v>
      </c>
      <c r="C124" s="314" t="s">
        <v>473</v>
      </c>
      <c r="D124" s="314" t="s">
        <v>475</v>
      </c>
      <c r="E124" s="90">
        <v>4</v>
      </c>
      <c r="F124" s="316" t="s">
        <v>457</v>
      </c>
      <c r="G124" s="328">
        <f>VLOOKUP(A124,'2.2.Evaluación MGGTI'!$A$6:$F$207,6,0)</f>
        <v>1</v>
      </c>
      <c r="H124" s="107"/>
      <c r="I124" s="107"/>
      <c r="J124" s="107"/>
      <c r="K124" s="107"/>
      <c r="L124" s="108"/>
      <c r="M124" s="132"/>
      <c r="N124" s="133"/>
      <c r="O124" s="133"/>
      <c r="P124" s="133"/>
      <c r="Q124" s="134"/>
      <c r="R124" s="132"/>
      <c r="S124" s="133"/>
      <c r="T124" s="133"/>
      <c r="U124" s="134"/>
      <c r="V124" s="132"/>
      <c r="W124" s="11">
        <f t="shared" si="9"/>
        <v>1</v>
      </c>
      <c r="X124" s="133"/>
      <c r="Y124" s="134"/>
      <c r="Z124" s="132"/>
      <c r="AA124" s="133"/>
      <c r="AB124" s="133"/>
      <c r="AC124" s="134"/>
      <c r="AD124" s="133"/>
      <c r="AE124" s="133"/>
      <c r="AF124" s="134"/>
    </row>
    <row r="125" spans="1:32" ht="99.95" customHeight="1" x14ac:dyDescent="0.2">
      <c r="A125" s="93">
        <v>119</v>
      </c>
      <c r="B125" s="90">
        <v>41</v>
      </c>
      <c r="C125" s="314" t="s">
        <v>476</v>
      </c>
      <c r="D125" s="119" t="s">
        <v>477</v>
      </c>
      <c r="E125" s="90">
        <v>4</v>
      </c>
      <c r="F125" s="316" t="s">
        <v>457</v>
      </c>
      <c r="G125" s="328">
        <f>VLOOKUP(A125,'2.2.Evaluación MGGTI'!$A$6:$F$207,6,0)</f>
        <v>1</v>
      </c>
      <c r="H125" s="107"/>
      <c r="I125" s="107"/>
      <c r="J125" s="107"/>
      <c r="K125" s="107"/>
      <c r="L125" s="108"/>
      <c r="M125" s="132"/>
      <c r="N125" s="133"/>
      <c r="O125" s="133"/>
      <c r="P125" s="133"/>
      <c r="Q125" s="134"/>
      <c r="R125" s="132"/>
      <c r="S125" s="133"/>
      <c r="T125" s="133"/>
      <c r="U125" s="134"/>
      <c r="V125" s="132"/>
      <c r="W125" s="11">
        <f t="shared" si="9"/>
        <v>1</v>
      </c>
      <c r="X125" s="133"/>
      <c r="Y125" s="134"/>
      <c r="Z125" s="132"/>
      <c r="AA125" s="133"/>
      <c r="AB125" s="133"/>
      <c r="AC125" s="134"/>
      <c r="AD125" s="133"/>
      <c r="AE125" s="133"/>
      <c r="AF125" s="134"/>
    </row>
    <row r="126" spans="1:32" ht="99.95" customHeight="1" x14ac:dyDescent="0.2">
      <c r="A126" s="93">
        <v>120</v>
      </c>
      <c r="B126" s="90">
        <v>41</v>
      </c>
      <c r="C126" s="314" t="s">
        <v>476</v>
      </c>
      <c r="D126" s="314" t="s">
        <v>478</v>
      </c>
      <c r="E126" s="90">
        <v>3</v>
      </c>
      <c r="F126" s="316" t="s">
        <v>457</v>
      </c>
      <c r="G126" s="328">
        <f>VLOOKUP(A126,'2.2.Evaluación MGGTI'!$A$6:$F$207,6,0)</f>
        <v>1</v>
      </c>
      <c r="H126" s="107"/>
      <c r="I126" s="107"/>
      <c r="J126" s="107"/>
      <c r="K126" s="107"/>
      <c r="L126" s="108"/>
      <c r="M126" s="132"/>
      <c r="N126" s="133"/>
      <c r="O126" s="133"/>
      <c r="P126" s="133"/>
      <c r="Q126" s="134"/>
      <c r="R126" s="132"/>
      <c r="S126" s="133"/>
      <c r="T126" s="133"/>
      <c r="U126" s="134"/>
      <c r="V126" s="132"/>
      <c r="W126" s="11">
        <f t="shared" si="9"/>
        <v>1</v>
      </c>
      <c r="X126" s="133"/>
      <c r="Y126" s="134"/>
      <c r="Z126" s="132"/>
      <c r="AA126" s="133"/>
      <c r="AB126" s="133"/>
      <c r="AC126" s="134"/>
      <c r="AD126" s="133"/>
      <c r="AE126" s="133"/>
      <c r="AF126" s="134"/>
    </row>
    <row r="127" spans="1:32" ht="99.95" customHeight="1" x14ac:dyDescent="0.2">
      <c r="A127" s="93">
        <v>121</v>
      </c>
      <c r="B127" s="90">
        <v>42</v>
      </c>
      <c r="C127" s="314" t="s">
        <v>479</v>
      </c>
      <c r="D127" s="119" t="s">
        <v>480</v>
      </c>
      <c r="E127" s="90">
        <v>2</v>
      </c>
      <c r="F127" s="316" t="s">
        <v>457</v>
      </c>
      <c r="G127" s="328">
        <f>VLOOKUP(A127,'2.2.Evaluación MGGTI'!$A$6:$F$207,6,0)</f>
        <v>1</v>
      </c>
      <c r="H127" s="107"/>
      <c r="I127" s="107"/>
      <c r="J127" s="107"/>
      <c r="K127" s="107"/>
      <c r="L127" s="108"/>
      <c r="M127" s="132"/>
      <c r="N127" s="133"/>
      <c r="O127" s="133"/>
      <c r="P127" s="133"/>
      <c r="Q127" s="134"/>
      <c r="R127" s="132"/>
      <c r="S127" s="133"/>
      <c r="T127" s="133"/>
      <c r="U127" s="134"/>
      <c r="V127" s="132"/>
      <c r="W127" s="11">
        <f t="shared" si="9"/>
        <v>1</v>
      </c>
      <c r="X127" s="133"/>
      <c r="Y127" s="134"/>
      <c r="Z127" s="132"/>
      <c r="AA127" s="133"/>
      <c r="AB127" s="133"/>
      <c r="AC127" s="134"/>
      <c r="AD127" s="133"/>
      <c r="AE127" s="133"/>
      <c r="AF127" s="134"/>
    </row>
    <row r="128" spans="1:32" ht="99.95" customHeight="1" x14ac:dyDescent="0.2">
      <c r="A128" s="93">
        <v>122</v>
      </c>
      <c r="B128" s="90">
        <v>42</v>
      </c>
      <c r="C128" s="314" t="s">
        <v>479</v>
      </c>
      <c r="D128" s="119" t="s">
        <v>481</v>
      </c>
      <c r="E128" s="90">
        <v>3</v>
      </c>
      <c r="F128" s="316" t="s">
        <v>457</v>
      </c>
      <c r="G128" s="328">
        <f>VLOOKUP(A128,'2.2.Evaluación MGGTI'!$A$6:$F$207,6,0)</f>
        <v>1</v>
      </c>
      <c r="H128" s="107"/>
      <c r="I128" s="107"/>
      <c r="J128" s="107"/>
      <c r="K128" s="107"/>
      <c r="L128" s="108"/>
      <c r="M128" s="132"/>
      <c r="N128" s="133"/>
      <c r="O128" s="133"/>
      <c r="P128" s="133"/>
      <c r="Q128" s="134"/>
      <c r="R128" s="132"/>
      <c r="S128" s="133"/>
      <c r="T128" s="133"/>
      <c r="U128" s="134"/>
      <c r="V128" s="132"/>
      <c r="W128" s="11">
        <f t="shared" si="9"/>
        <v>1</v>
      </c>
      <c r="X128" s="133"/>
      <c r="Y128" s="134"/>
      <c r="Z128" s="132"/>
      <c r="AA128" s="133"/>
      <c r="AB128" s="133"/>
      <c r="AC128" s="134"/>
      <c r="AD128" s="133"/>
      <c r="AE128" s="133"/>
      <c r="AF128" s="134"/>
    </row>
    <row r="129" spans="1:32" ht="99.95" customHeight="1" x14ac:dyDescent="0.2">
      <c r="A129" s="93">
        <v>123</v>
      </c>
      <c r="B129" s="90">
        <v>43</v>
      </c>
      <c r="C129" s="314" t="s">
        <v>482</v>
      </c>
      <c r="D129" s="314" t="s">
        <v>483</v>
      </c>
      <c r="E129" s="90">
        <v>3</v>
      </c>
      <c r="F129" s="316" t="s">
        <v>457</v>
      </c>
      <c r="G129" s="328">
        <f>VLOOKUP(A129,'2.2.Evaluación MGGTI'!$A$6:$F$207,6,0)</f>
        <v>1</v>
      </c>
      <c r="H129" s="107"/>
      <c r="I129" s="107"/>
      <c r="J129" s="107"/>
      <c r="K129" s="107"/>
      <c r="L129" s="108"/>
      <c r="M129" s="132"/>
      <c r="N129" s="133"/>
      <c r="O129" s="133"/>
      <c r="P129" s="133"/>
      <c r="Q129" s="134"/>
      <c r="R129" s="132"/>
      <c r="S129" s="133"/>
      <c r="T129" s="133"/>
      <c r="U129" s="134"/>
      <c r="V129" s="132"/>
      <c r="W129" s="133"/>
      <c r="X129" s="11">
        <f t="shared" ref="X129:X141" si="10">G129</f>
        <v>1</v>
      </c>
      <c r="Y129" s="134"/>
      <c r="Z129" s="132"/>
      <c r="AA129" s="133"/>
      <c r="AB129" s="133"/>
      <c r="AC129" s="134"/>
      <c r="AD129" s="133"/>
      <c r="AE129" s="133"/>
      <c r="AF129" s="134"/>
    </row>
    <row r="130" spans="1:32" ht="99.95" customHeight="1" x14ac:dyDescent="0.2">
      <c r="A130" s="93">
        <v>124</v>
      </c>
      <c r="B130" s="90">
        <v>43</v>
      </c>
      <c r="C130" s="314" t="s">
        <v>482</v>
      </c>
      <c r="D130" s="314" t="s">
        <v>484</v>
      </c>
      <c r="E130" s="90">
        <v>4</v>
      </c>
      <c r="F130" s="316" t="s">
        <v>457</v>
      </c>
      <c r="G130" s="328">
        <f>VLOOKUP(A130,'2.2.Evaluación MGGTI'!$A$6:$F$207,6,0)</f>
        <v>1</v>
      </c>
      <c r="H130" s="107"/>
      <c r="I130" s="107"/>
      <c r="J130" s="107"/>
      <c r="K130" s="107"/>
      <c r="L130" s="108"/>
      <c r="M130" s="132"/>
      <c r="N130" s="133"/>
      <c r="O130" s="133"/>
      <c r="P130" s="133"/>
      <c r="Q130" s="134"/>
      <c r="R130" s="132"/>
      <c r="S130" s="133"/>
      <c r="T130" s="133"/>
      <c r="U130" s="134"/>
      <c r="V130" s="132"/>
      <c r="W130" s="133"/>
      <c r="X130" s="11">
        <f t="shared" si="10"/>
        <v>1</v>
      </c>
      <c r="Y130" s="134"/>
      <c r="Z130" s="132"/>
      <c r="AA130" s="133"/>
      <c r="AB130" s="133"/>
      <c r="AC130" s="134"/>
      <c r="AD130" s="133"/>
      <c r="AE130" s="133"/>
      <c r="AF130" s="134"/>
    </row>
    <row r="131" spans="1:32" ht="99.95" customHeight="1" x14ac:dyDescent="0.2">
      <c r="A131" s="93">
        <v>125</v>
      </c>
      <c r="B131" s="90">
        <v>44</v>
      </c>
      <c r="C131" s="314" t="s">
        <v>485</v>
      </c>
      <c r="D131" s="314" t="s">
        <v>486</v>
      </c>
      <c r="E131" s="90">
        <v>3</v>
      </c>
      <c r="F131" s="316" t="s">
        <v>457</v>
      </c>
      <c r="G131" s="328">
        <f>VLOOKUP(A131,'2.2.Evaluación MGGTI'!$A$6:$F$207,6,0)</f>
        <v>1</v>
      </c>
      <c r="H131" s="107"/>
      <c r="I131" s="107"/>
      <c r="J131" s="107"/>
      <c r="K131" s="107"/>
      <c r="L131" s="108"/>
      <c r="M131" s="132"/>
      <c r="N131" s="133"/>
      <c r="O131" s="133"/>
      <c r="P131" s="133"/>
      <c r="Q131" s="134"/>
      <c r="R131" s="132"/>
      <c r="S131" s="133"/>
      <c r="T131" s="133"/>
      <c r="U131" s="134"/>
      <c r="V131" s="132"/>
      <c r="W131" s="133"/>
      <c r="X131" s="11">
        <f t="shared" si="10"/>
        <v>1</v>
      </c>
      <c r="Y131" s="134"/>
      <c r="Z131" s="132"/>
      <c r="AA131" s="133"/>
      <c r="AB131" s="133"/>
      <c r="AC131" s="134"/>
      <c r="AD131" s="133"/>
      <c r="AE131" s="133"/>
      <c r="AF131" s="134"/>
    </row>
    <row r="132" spans="1:32" ht="99.95" customHeight="1" x14ac:dyDescent="0.2">
      <c r="A132" s="93">
        <v>126</v>
      </c>
      <c r="B132" s="90">
        <v>44</v>
      </c>
      <c r="C132" s="314" t="s">
        <v>485</v>
      </c>
      <c r="D132" s="314" t="s">
        <v>487</v>
      </c>
      <c r="E132" s="90">
        <v>4</v>
      </c>
      <c r="F132" s="316" t="s">
        <v>457</v>
      </c>
      <c r="G132" s="328">
        <f>VLOOKUP(A132,'2.2.Evaluación MGGTI'!$A$6:$F$207,6,0)</f>
        <v>1</v>
      </c>
      <c r="H132" s="107"/>
      <c r="I132" s="107"/>
      <c r="J132" s="107"/>
      <c r="K132" s="107"/>
      <c r="L132" s="108"/>
      <c r="M132" s="132"/>
      <c r="N132" s="133"/>
      <c r="O132" s="133"/>
      <c r="P132" s="133"/>
      <c r="Q132" s="134"/>
      <c r="R132" s="132"/>
      <c r="S132" s="133"/>
      <c r="T132" s="133"/>
      <c r="U132" s="134"/>
      <c r="V132" s="132"/>
      <c r="W132" s="133"/>
      <c r="X132" s="11">
        <f t="shared" si="10"/>
        <v>1</v>
      </c>
      <c r="Y132" s="134"/>
      <c r="Z132" s="132"/>
      <c r="AA132" s="133"/>
      <c r="AB132" s="133"/>
      <c r="AC132" s="134"/>
      <c r="AD132" s="133"/>
      <c r="AE132" s="133"/>
      <c r="AF132" s="134"/>
    </row>
    <row r="133" spans="1:32" ht="99.95" customHeight="1" x14ac:dyDescent="0.2">
      <c r="A133" s="93">
        <v>127</v>
      </c>
      <c r="B133" s="90">
        <v>45</v>
      </c>
      <c r="C133" s="314" t="s">
        <v>488</v>
      </c>
      <c r="D133" s="314" t="s">
        <v>489</v>
      </c>
      <c r="E133" s="90">
        <v>4</v>
      </c>
      <c r="F133" s="316" t="s">
        <v>457</v>
      </c>
      <c r="G133" s="328">
        <f>VLOOKUP(A133,'2.2.Evaluación MGGTI'!$A$6:$F$207,6,0)</f>
        <v>1</v>
      </c>
      <c r="H133" s="107"/>
      <c r="I133" s="107"/>
      <c r="J133" s="107"/>
      <c r="K133" s="107"/>
      <c r="L133" s="108"/>
      <c r="M133" s="132"/>
      <c r="N133" s="133"/>
      <c r="O133" s="133"/>
      <c r="P133" s="133"/>
      <c r="Q133" s="134"/>
      <c r="R133" s="132"/>
      <c r="S133" s="133"/>
      <c r="T133" s="133"/>
      <c r="U133" s="134"/>
      <c r="V133" s="132"/>
      <c r="W133" s="133"/>
      <c r="X133" s="11">
        <f t="shared" si="10"/>
        <v>1</v>
      </c>
      <c r="Y133" s="134"/>
      <c r="Z133" s="132"/>
      <c r="AA133" s="133"/>
      <c r="AB133" s="133"/>
      <c r="AC133" s="134"/>
      <c r="AD133" s="133"/>
      <c r="AE133" s="133"/>
      <c r="AF133" s="134"/>
    </row>
    <row r="134" spans="1:32" ht="99.95" customHeight="1" x14ac:dyDescent="0.2">
      <c r="A134" s="93">
        <v>128</v>
      </c>
      <c r="B134" s="90">
        <v>45</v>
      </c>
      <c r="C134" s="314" t="s">
        <v>488</v>
      </c>
      <c r="D134" s="314" t="s">
        <v>490</v>
      </c>
      <c r="E134" s="90">
        <v>3</v>
      </c>
      <c r="F134" s="316" t="s">
        <v>457</v>
      </c>
      <c r="G134" s="328">
        <f>VLOOKUP(A134,'2.2.Evaluación MGGTI'!$A$6:$F$207,6,0)</f>
        <v>1</v>
      </c>
      <c r="H134" s="107"/>
      <c r="I134" s="107"/>
      <c r="J134" s="107"/>
      <c r="K134" s="107"/>
      <c r="L134" s="108"/>
      <c r="M134" s="132"/>
      <c r="N134" s="133"/>
      <c r="O134" s="133"/>
      <c r="P134" s="133"/>
      <c r="Q134" s="134"/>
      <c r="R134" s="132"/>
      <c r="S134" s="133"/>
      <c r="T134" s="133"/>
      <c r="U134" s="134"/>
      <c r="V134" s="132"/>
      <c r="W134" s="133"/>
      <c r="X134" s="11">
        <f t="shared" si="10"/>
        <v>1</v>
      </c>
      <c r="Y134" s="134"/>
      <c r="Z134" s="132"/>
      <c r="AA134" s="133"/>
      <c r="AB134" s="133"/>
      <c r="AC134" s="134"/>
      <c r="AD134" s="133"/>
      <c r="AE134" s="133"/>
      <c r="AF134" s="134"/>
    </row>
    <row r="135" spans="1:32" ht="99.95" customHeight="1" x14ac:dyDescent="0.2">
      <c r="A135" s="93">
        <v>129</v>
      </c>
      <c r="B135" s="90">
        <v>46</v>
      </c>
      <c r="C135" s="314" t="s">
        <v>491</v>
      </c>
      <c r="D135" s="119" t="s">
        <v>492</v>
      </c>
      <c r="E135" s="90">
        <v>3</v>
      </c>
      <c r="F135" s="316" t="s">
        <v>457</v>
      </c>
      <c r="G135" s="328">
        <f>VLOOKUP(A135,'2.2.Evaluación MGGTI'!$A$6:$F$207,6,0)</f>
        <v>1</v>
      </c>
      <c r="H135" s="107"/>
      <c r="I135" s="107"/>
      <c r="J135" s="107"/>
      <c r="K135" s="107"/>
      <c r="L135" s="108"/>
      <c r="M135" s="132"/>
      <c r="N135" s="133"/>
      <c r="O135" s="133"/>
      <c r="P135" s="133"/>
      <c r="Q135" s="134"/>
      <c r="R135" s="132"/>
      <c r="S135" s="133"/>
      <c r="T135" s="133"/>
      <c r="U135" s="134"/>
      <c r="V135" s="132"/>
      <c r="W135" s="133"/>
      <c r="X135" s="11">
        <f t="shared" si="10"/>
        <v>1</v>
      </c>
      <c r="Y135" s="134"/>
      <c r="Z135" s="132"/>
      <c r="AA135" s="133"/>
      <c r="AB135" s="133"/>
      <c r="AC135" s="134"/>
      <c r="AD135" s="133"/>
      <c r="AE135" s="133"/>
      <c r="AF135" s="134"/>
    </row>
    <row r="136" spans="1:32" ht="99.95" customHeight="1" x14ac:dyDescent="0.2">
      <c r="A136" s="93">
        <v>130</v>
      </c>
      <c r="B136" s="90">
        <v>47</v>
      </c>
      <c r="C136" s="314" t="s">
        <v>493</v>
      </c>
      <c r="D136" s="314" t="s">
        <v>494</v>
      </c>
      <c r="E136" s="90">
        <v>3</v>
      </c>
      <c r="F136" s="316" t="s">
        <v>457</v>
      </c>
      <c r="G136" s="328">
        <f>VLOOKUP(A136,'2.2.Evaluación MGGTI'!$A$6:$F$207,6,0)</f>
        <v>1</v>
      </c>
      <c r="H136" s="107"/>
      <c r="I136" s="107"/>
      <c r="J136" s="107"/>
      <c r="K136" s="107"/>
      <c r="L136" s="108"/>
      <c r="M136" s="132"/>
      <c r="N136" s="133"/>
      <c r="O136" s="133"/>
      <c r="P136" s="133"/>
      <c r="Q136" s="134"/>
      <c r="R136" s="132"/>
      <c r="S136" s="133"/>
      <c r="T136" s="133"/>
      <c r="U136" s="134"/>
      <c r="V136" s="132"/>
      <c r="W136" s="133"/>
      <c r="X136" s="11">
        <f t="shared" si="10"/>
        <v>1</v>
      </c>
      <c r="Y136" s="134"/>
      <c r="Z136" s="132"/>
      <c r="AA136" s="133"/>
      <c r="AB136" s="133"/>
      <c r="AC136" s="134"/>
      <c r="AD136" s="133"/>
      <c r="AE136" s="133"/>
      <c r="AF136" s="134"/>
    </row>
    <row r="137" spans="1:32" ht="99.95" customHeight="1" x14ac:dyDescent="0.2">
      <c r="A137" s="93">
        <v>131</v>
      </c>
      <c r="B137" s="90">
        <v>48</v>
      </c>
      <c r="C137" s="314" t="s">
        <v>495</v>
      </c>
      <c r="D137" s="314" t="s">
        <v>496</v>
      </c>
      <c r="E137" s="90">
        <v>3</v>
      </c>
      <c r="F137" s="316" t="s">
        <v>457</v>
      </c>
      <c r="G137" s="328">
        <f>VLOOKUP(A137,'2.2.Evaluación MGGTI'!$A$6:$F$207,6,0)</f>
        <v>1</v>
      </c>
      <c r="H137" s="107"/>
      <c r="I137" s="107"/>
      <c r="J137" s="107"/>
      <c r="K137" s="107"/>
      <c r="L137" s="108"/>
      <c r="M137" s="132"/>
      <c r="N137" s="133"/>
      <c r="O137" s="133"/>
      <c r="P137" s="133"/>
      <c r="Q137" s="134"/>
      <c r="R137" s="132"/>
      <c r="S137" s="133"/>
      <c r="T137" s="133"/>
      <c r="U137" s="134"/>
      <c r="V137" s="132"/>
      <c r="W137" s="133"/>
      <c r="X137" s="11">
        <f t="shared" si="10"/>
        <v>1</v>
      </c>
      <c r="Y137" s="134"/>
      <c r="Z137" s="132"/>
      <c r="AA137" s="133"/>
      <c r="AB137" s="133"/>
      <c r="AC137" s="134"/>
      <c r="AD137" s="133"/>
      <c r="AE137" s="133"/>
      <c r="AF137" s="134"/>
    </row>
    <row r="138" spans="1:32" ht="99.95" customHeight="1" x14ac:dyDescent="0.2">
      <c r="A138" s="93">
        <v>132</v>
      </c>
      <c r="B138" s="90">
        <v>49</v>
      </c>
      <c r="C138" s="314" t="s">
        <v>497</v>
      </c>
      <c r="D138" s="314" t="s">
        <v>498</v>
      </c>
      <c r="E138" s="90">
        <v>2</v>
      </c>
      <c r="F138" s="316" t="s">
        <v>457</v>
      </c>
      <c r="G138" s="328">
        <f>VLOOKUP(A138,'2.2.Evaluación MGGTI'!$A$6:$F$207,6,0)</f>
        <v>1</v>
      </c>
      <c r="H138" s="107"/>
      <c r="I138" s="107"/>
      <c r="J138" s="107"/>
      <c r="K138" s="107"/>
      <c r="L138" s="108"/>
      <c r="M138" s="132"/>
      <c r="N138" s="133"/>
      <c r="O138" s="133"/>
      <c r="P138" s="133"/>
      <c r="Q138" s="134"/>
      <c r="R138" s="132"/>
      <c r="S138" s="133"/>
      <c r="T138" s="133"/>
      <c r="U138" s="134"/>
      <c r="V138" s="132"/>
      <c r="W138" s="133"/>
      <c r="X138" s="11">
        <f t="shared" si="10"/>
        <v>1</v>
      </c>
      <c r="Y138" s="134"/>
      <c r="Z138" s="132"/>
      <c r="AA138" s="133"/>
      <c r="AB138" s="133"/>
      <c r="AC138" s="134"/>
      <c r="AD138" s="133"/>
      <c r="AE138" s="133"/>
      <c r="AF138" s="134"/>
    </row>
    <row r="139" spans="1:32" ht="99.95" customHeight="1" x14ac:dyDescent="0.2">
      <c r="A139" s="93">
        <v>133</v>
      </c>
      <c r="B139" s="90">
        <v>49</v>
      </c>
      <c r="C139" s="314" t="s">
        <v>497</v>
      </c>
      <c r="D139" s="314" t="s">
        <v>499</v>
      </c>
      <c r="E139" s="90">
        <v>3</v>
      </c>
      <c r="F139" s="316" t="s">
        <v>457</v>
      </c>
      <c r="G139" s="328">
        <f>VLOOKUP(A139,'2.2.Evaluación MGGTI'!$A$6:$F$207,6,0)</f>
        <v>1</v>
      </c>
      <c r="H139" s="107"/>
      <c r="I139" s="107"/>
      <c r="J139" s="107"/>
      <c r="K139" s="107"/>
      <c r="L139" s="108"/>
      <c r="M139" s="132"/>
      <c r="N139" s="133"/>
      <c r="O139" s="133"/>
      <c r="P139" s="133"/>
      <c r="Q139" s="134"/>
      <c r="R139" s="132"/>
      <c r="S139" s="133"/>
      <c r="T139" s="133"/>
      <c r="U139" s="134"/>
      <c r="V139" s="132"/>
      <c r="W139" s="133"/>
      <c r="X139" s="11">
        <f t="shared" si="10"/>
        <v>1</v>
      </c>
      <c r="Y139" s="134"/>
      <c r="Z139" s="132"/>
      <c r="AA139" s="133"/>
      <c r="AB139" s="133"/>
      <c r="AC139" s="134"/>
      <c r="AD139" s="133"/>
      <c r="AE139" s="133"/>
      <c r="AF139" s="134"/>
    </row>
    <row r="140" spans="1:32" ht="99.95" customHeight="1" x14ac:dyDescent="0.2">
      <c r="A140" s="93">
        <v>134</v>
      </c>
      <c r="B140" s="90">
        <v>50</v>
      </c>
      <c r="C140" s="314" t="s">
        <v>500</v>
      </c>
      <c r="D140" s="314" t="s">
        <v>501</v>
      </c>
      <c r="E140" s="90">
        <v>4</v>
      </c>
      <c r="F140" s="316" t="s">
        <v>457</v>
      </c>
      <c r="G140" s="328">
        <f>VLOOKUP(A140,'2.2.Evaluación MGGTI'!$A$6:$F$207,6,0)</f>
        <v>1</v>
      </c>
      <c r="H140" s="107"/>
      <c r="I140" s="107"/>
      <c r="J140" s="107"/>
      <c r="K140" s="107"/>
      <c r="L140" s="108"/>
      <c r="M140" s="132"/>
      <c r="N140" s="133"/>
      <c r="O140" s="133"/>
      <c r="P140" s="133"/>
      <c r="Q140" s="134"/>
      <c r="R140" s="132"/>
      <c r="S140" s="133"/>
      <c r="T140" s="133"/>
      <c r="U140" s="134"/>
      <c r="V140" s="132"/>
      <c r="W140" s="133"/>
      <c r="X140" s="11">
        <f t="shared" si="10"/>
        <v>1</v>
      </c>
      <c r="Y140" s="134"/>
      <c r="Z140" s="132"/>
      <c r="AA140" s="133"/>
      <c r="AB140" s="133"/>
      <c r="AC140" s="134"/>
      <c r="AD140" s="133"/>
      <c r="AE140" s="133"/>
      <c r="AF140" s="134"/>
    </row>
    <row r="141" spans="1:32" ht="99.95" customHeight="1" x14ac:dyDescent="0.25">
      <c r="A141" s="93">
        <v>135</v>
      </c>
      <c r="B141" s="90">
        <v>50</v>
      </c>
      <c r="C141" s="314" t="s">
        <v>500</v>
      </c>
      <c r="D141" s="317" t="s">
        <v>502</v>
      </c>
      <c r="E141" s="90">
        <v>3</v>
      </c>
      <c r="F141" s="316" t="s">
        <v>457</v>
      </c>
      <c r="G141" s="328">
        <f>VLOOKUP(A141,'2.2.Evaluación MGGTI'!$A$6:$F$207,6,0)</f>
        <v>1</v>
      </c>
      <c r="H141" s="107"/>
      <c r="I141" s="107"/>
      <c r="J141" s="107"/>
      <c r="K141" s="107"/>
      <c r="L141" s="108"/>
      <c r="M141" s="132"/>
      <c r="N141" s="133"/>
      <c r="O141" s="133"/>
      <c r="P141" s="133"/>
      <c r="Q141" s="134"/>
      <c r="R141" s="132"/>
      <c r="S141" s="133"/>
      <c r="T141" s="133"/>
      <c r="U141" s="134"/>
      <c r="V141" s="132"/>
      <c r="W141" s="133"/>
      <c r="X141" s="11">
        <f t="shared" si="10"/>
        <v>1</v>
      </c>
      <c r="Y141" s="134"/>
      <c r="Z141" s="132"/>
      <c r="AA141" s="133"/>
      <c r="AB141" s="133"/>
      <c r="AC141" s="134"/>
      <c r="AD141" s="133"/>
      <c r="AE141" s="133"/>
      <c r="AF141" s="134"/>
    </row>
    <row r="142" spans="1:32" ht="99.95" customHeight="1" x14ac:dyDescent="0.25">
      <c r="A142" s="93">
        <v>136</v>
      </c>
      <c r="B142" s="90">
        <v>51</v>
      </c>
      <c r="C142" s="314" t="s">
        <v>503</v>
      </c>
      <c r="D142" s="318" t="s">
        <v>504</v>
      </c>
      <c r="E142" s="90">
        <v>3</v>
      </c>
      <c r="F142" s="316" t="s">
        <v>457</v>
      </c>
      <c r="G142" s="328">
        <f>VLOOKUP(A142,'2.2.Evaluación MGGTI'!$A$6:$F$207,6,0)</f>
        <v>1</v>
      </c>
      <c r="H142" s="107"/>
      <c r="I142" s="107"/>
      <c r="J142" s="107"/>
      <c r="K142" s="107"/>
      <c r="L142" s="108"/>
      <c r="M142" s="132"/>
      <c r="N142" s="133"/>
      <c r="O142" s="133"/>
      <c r="P142" s="133"/>
      <c r="Q142" s="134"/>
      <c r="R142" s="132"/>
      <c r="S142" s="133"/>
      <c r="T142" s="133"/>
      <c r="U142" s="134"/>
      <c r="V142" s="132"/>
      <c r="W142" s="133"/>
      <c r="X142" s="133"/>
      <c r="Y142" s="156">
        <f>G142</f>
        <v>1</v>
      </c>
      <c r="Z142" s="132"/>
      <c r="AA142" s="133"/>
      <c r="AB142" s="133"/>
      <c r="AC142" s="134"/>
      <c r="AD142" s="133"/>
      <c r="AE142" s="133"/>
      <c r="AF142" s="134"/>
    </row>
    <row r="143" spans="1:32" ht="99.95" customHeight="1" x14ac:dyDescent="0.25">
      <c r="A143" s="93">
        <v>137</v>
      </c>
      <c r="B143" s="90">
        <v>51</v>
      </c>
      <c r="C143" s="314" t="s">
        <v>503</v>
      </c>
      <c r="D143" s="318" t="s">
        <v>505</v>
      </c>
      <c r="E143" s="90">
        <v>2</v>
      </c>
      <c r="F143" s="316" t="s">
        <v>457</v>
      </c>
      <c r="G143" s="328">
        <f>VLOOKUP(A143,'2.2.Evaluación MGGTI'!$A$6:$F$207,6,0)</f>
        <v>1</v>
      </c>
      <c r="H143" s="107"/>
      <c r="I143" s="107"/>
      <c r="J143" s="107"/>
      <c r="K143" s="107"/>
      <c r="L143" s="108"/>
      <c r="M143" s="132"/>
      <c r="N143" s="133"/>
      <c r="O143" s="133"/>
      <c r="P143" s="133"/>
      <c r="Q143" s="134"/>
      <c r="R143" s="132"/>
      <c r="S143" s="133"/>
      <c r="T143" s="133"/>
      <c r="U143" s="134"/>
      <c r="V143" s="132"/>
      <c r="W143" s="133"/>
      <c r="X143" s="133"/>
      <c r="Y143" s="156">
        <f>G143</f>
        <v>1</v>
      </c>
      <c r="Z143" s="132"/>
      <c r="AA143" s="133"/>
      <c r="AB143" s="133"/>
      <c r="AC143" s="134"/>
      <c r="AD143" s="133"/>
      <c r="AE143" s="133"/>
      <c r="AF143" s="134"/>
    </row>
    <row r="144" spans="1:32" ht="99.95" customHeight="1" x14ac:dyDescent="0.2">
      <c r="A144" s="93">
        <v>138</v>
      </c>
      <c r="B144" s="90">
        <v>52</v>
      </c>
      <c r="C144" s="314" t="s">
        <v>506</v>
      </c>
      <c r="D144" s="314" t="s">
        <v>507</v>
      </c>
      <c r="E144" s="90">
        <v>2</v>
      </c>
      <c r="F144" s="316" t="s">
        <v>457</v>
      </c>
      <c r="G144" s="328">
        <f>VLOOKUP(A144,'2.2.Evaluación MGGTI'!$A$6:$F$207,6,0)</f>
        <v>1</v>
      </c>
      <c r="H144" s="107"/>
      <c r="I144" s="107"/>
      <c r="J144" s="107"/>
      <c r="K144" s="107"/>
      <c r="L144" s="108"/>
      <c r="M144" s="132"/>
      <c r="N144" s="133"/>
      <c r="O144" s="133"/>
      <c r="P144" s="133"/>
      <c r="Q144" s="134"/>
      <c r="R144" s="132"/>
      <c r="S144" s="133"/>
      <c r="T144" s="133"/>
      <c r="U144" s="134"/>
      <c r="V144" s="132"/>
      <c r="W144" s="133"/>
      <c r="X144" s="133"/>
      <c r="Y144" s="156">
        <f>G144</f>
        <v>1</v>
      </c>
      <c r="Z144" s="132"/>
      <c r="AA144" s="133"/>
      <c r="AB144" s="133"/>
      <c r="AC144" s="134"/>
      <c r="AD144" s="133"/>
      <c r="AE144" s="133"/>
      <c r="AF144" s="134"/>
    </row>
    <row r="145" spans="1:32" ht="99.95" customHeight="1" x14ac:dyDescent="0.2">
      <c r="A145" s="93">
        <v>139</v>
      </c>
      <c r="B145" s="90">
        <v>52</v>
      </c>
      <c r="C145" s="314" t="s">
        <v>506</v>
      </c>
      <c r="D145" s="314" t="s">
        <v>508</v>
      </c>
      <c r="E145" s="90">
        <v>3</v>
      </c>
      <c r="F145" s="316" t="s">
        <v>457</v>
      </c>
      <c r="G145" s="328">
        <f>VLOOKUP(A145,'2.2.Evaluación MGGTI'!$A$6:$F$207,6,0)</f>
        <v>1</v>
      </c>
      <c r="H145" s="107"/>
      <c r="I145" s="107"/>
      <c r="J145" s="107"/>
      <c r="K145" s="107"/>
      <c r="L145" s="108"/>
      <c r="M145" s="132"/>
      <c r="N145" s="133"/>
      <c r="O145" s="133"/>
      <c r="P145" s="133"/>
      <c r="Q145" s="134"/>
      <c r="R145" s="132"/>
      <c r="S145" s="133"/>
      <c r="T145" s="133"/>
      <c r="U145" s="134"/>
      <c r="V145" s="132"/>
      <c r="W145" s="133"/>
      <c r="X145" s="133"/>
      <c r="Y145" s="156">
        <f>G145</f>
        <v>1</v>
      </c>
      <c r="Z145" s="132"/>
      <c r="AA145" s="133"/>
      <c r="AB145" s="133"/>
      <c r="AC145" s="134"/>
      <c r="AD145" s="133"/>
      <c r="AE145" s="133"/>
      <c r="AF145" s="134"/>
    </row>
    <row r="146" spans="1:32" ht="99.95" customHeight="1" x14ac:dyDescent="0.2">
      <c r="A146" s="93">
        <v>140</v>
      </c>
      <c r="B146" s="90">
        <v>53</v>
      </c>
      <c r="C146" s="314" t="s">
        <v>509</v>
      </c>
      <c r="D146" s="314" t="s">
        <v>510</v>
      </c>
      <c r="E146" s="90">
        <v>3</v>
      </c>
      <c r="F146" s="316" t="s">
        <v>511</v>
      </c>
      <c r="G146" s="328">
        <f>VLOOKUP(A146,'2.2.Evaluación MGGTI'!$A$6:$F$207,6,0)</f>
        <v>1</v>
      </c>
      <c r="H146" s="107"/>
      <c r="I146" s="107"/>
      <c r="J146" s="107"/>
      <c r="K146" s="107"/>
      <c r="L146" s="108"/>
      <c r="M146" s="132"/>
      <c r="N146" s="133"/>
      <c r="O146" s="133"/>
      <c r="P146" s="133"/>
      <c r="Q146" s="134"/>
      <c r="R146" s="132"/>
      <c r="S146" s="133"/>
      <c r="T146" s="133"/>
      <c r="U146" s="134"/>
      <c r="V146" s="132"/>
      <c r="W146" s="133"/>
      <c r="X146" s="133"/>
      <c r="Y146" s="134"/>
      <c r="Z146" s="157">
        <f t="shared" ref="Z146:Z151" si="11">G146</f>
        <v>1</v>
      </c>
      <c r="AA146" s="133"/>
      <c r="AB146" s="133"/>
      <c r="AC146" s="134"/>
      <c r="AD146" s="133"/>
      <c r="AE146" s="133"/>
      <c r="AF146" s="134"/>
    </row>
    <row r="147" spans="1:32" ht="99.95" customHeight="1" x14ac:dyDescent="0.2">
      <c r="A147" s="93">
        <v>141</v>
      </c>
      <c r="B147" s="90">
        <v>53</v>
      </c>
      <c r="C147" s="314" t="s">
        <v>509</v>
      </c>
      <c r="D147" s="314" t="s">
        <v>512</v>
      </c>
      <c r="E147" s="90">
        <v>4</v>
      </c>
      <c r="F147" s="316" t="s">
        <v>511</v>
      </c>
      <c r="G147" s="328">
        <f>VLOOKUP(A147,'2.2.Evaluación MGGTI'!$A$6:$F$207,6,0)</f>
        <v>1</v>
      </c>
      <c r="H147" s="107"/>
      <c r="I147" s="107"/>
      <c r="J147" s="107"/>
      <c r="K147" s="107"/>
      <c r="L147" s="108"/>
      <c r="M147" s="132"/>
      <c r="N147" s="133"/>
      <c r="O147" s="133"/>
      <c r="P147" s="133"/>
      <c r="Q147" s="134"/>
      <c r="R147" s="132"/>
      <c r="S147" s="133"/>
      <c r="T147" s="133"/>
      <c r="U147" s="134"/>
      <c r="V147" s="132"/>
      <c r="W147" s="133"/>
      <c r="X147" s="133"/>
      <c r="Y147" s="134"/>
      <c r="Z147" s="157">
        <f t="shared" si="11"/>
        <v>1</v>
      </c>
      <c r="AA147" s="133"/>
      <c r="AB147" s="133"/>
      <c r="AC147" s="134"/>
      <c r="AD147" s="133"/>
      <c r="AE147" s="133"/>
      <c r="AF147" s="134"/>
    </row>
    <row r="148" spans="1:32" ht="99.95" customHeight="1" x14ac:dyDescent="0.2">
      <c r="A148" s="93">
        <v>142</v>
      </c>
      <c r="B148" s="90">
        <v>54</v>
      </c>
      <c r="C148" s="314" t="s">
        <v>513</v>
      </c>
      <c r="D148" s="314" t="s">
        <v>514</v>
      </c>
      <c r="E148" s="90">
        <v>2</v>
      </c>
      <c r="F148" s="316" t="s">
        <v>511</v>
      </c>
      <c r="G148" s="328">
        <f>VLOOKUP(A148,'2.2.Evaluación MGGTI'!$A$6:$F$207,6,0)</f>
        <v>1</v>
      </c>
      <c r="H148" s="107"/>
      <c r="I148" s="107"/>
      <c r="J148" s="107"/>
      <c r="K148" s="107"/>
      <c r="L148" s="108"/>
      <c r="M148" s="132"/>
      <c r="N148" s="133"/>
      <c r="O148" s="133"/>
      <c r="P148" s="133"/>
      <c r="Q148" s="134"/>
      <c r="R148" s="132"/>
      <c r="S148" s="133"/>
      <c r="T148" s="133"/>
      <c r="U148" s="134"/>
      <c r="V148" s="132"/>
      <c r="W148" s="133"/>
      <c r="X148" s="133"/>
      <c r="Y148" s="134"/>
      <c r="Z148" s="157">
        <f t="shared" si="11"/>
        <v>1</v>
      </c>
      <c r="AA148" s="133"/>
      <c r="AB148" s="133"/>
      <c r="AC148" s="134"/>
      <c r="AD148" s="133"/>
      <c r="AE148" s="133"/>
      <c r="AF148" s="134"/>
    </row>
    <row r="149" spans="1:32" ht="99.95" customHeight="1" x14ac:dyDescent="0.2">
      <c r="A149" s="93">
        <v>143</v>
      </c>
      <c r="B149" s="90">
        <v>54</v>
      </c>
      <c r="C149" s="314" t="s">
        <v>513</v>
      </c>
      <c r="D149" s="314" t="s">
        <v>515</v>
      </c>
      <c r="E149" s="90">
        <v>3</v>
      </c>
      <c r="F149" s="316" t="s">
        <v>511</v>
      </c>
      <c r="G149" s="328">
        <f>VLOOKUP(A149,'2.2.Evaluación MGGTI'!$A$6:$F$207,6,0)</f>
        <v>1</v>
      </c>
      <c r="H149" s="107"/>
      <c r="I149" s="107"/>
      <c r="J149" s="107"/>
      <c r="K149" s="107"/>
      <c r="L149" s="108"/>
      <c r="M149" s="132"/>
      <c r="N149" s="133"/>
      <c r="O149" s="133"/>
      <c r="P149" s="133"/>
      <c r="Q149" s="134"/>
      <c r="R149" s="132"/>
      <c r="S149" s="133"/>
      <c r="T149" s="133"/>
      <c r="U149" s="134"/>
      <c r="V149" s="132"/>
      <c r="W149" s="133"/>
      <c r="X149" s="133"/>
      <c r="Y149" s="134"/>
      <c r="Z149" s="157">
        <f t="shared" si="11"/>
        <v>1</v>
      </c>
      <c r="AA149" s="133"/>
      <c r="AB149" s="133"/>
      <c r="AC149" s="134"/>
      <c r="AD149" s="133"/>
      <c r="AE149" s="133"/>
      <c r="AF149" s="134"/>
    </row>
    <row r="150" spans="1:32" ht="99.95" customHeight="1" x14ac:dyDescent="0.2">
      <c r="A150" s="93">
        <v>144</v>
      </c>
      <c r="B150" s="90">
        <v>54</v>
      </c>
      <c r="C150" s="314" t="s">
        <v>513</v>
      </c>
      <c r="D150" s="314" t="s">
        <v>516</v>
      </c>
      <c r="E150" s="90">
        <v>4</v>
      </c>
      <c r="F150" s="316" t="s">
        <v>511</v>
      </c>
      <c r="G150" s="328">
        <f>VLOOKUP(A150,'2.2.Evaluación MGGTI'!$A$6:$F$207,6,0)</f>
        <v>1</v>
      </c>
      <c r="H150" s="107"/>
      <c r="I150" s="107"/>
      <c r="J150" s="107"/>
      <c r="K150" s="107"/>
      <c r="L150" s="108"/>
      <c r="M150" s="132"/>
      <c r="N150" s="133"/>
      <c r="O150" s="133"/>
      <c r="P150" s="133"/>
      <c r="Q150" s="134"/>
      <c r="R150" s="132"/>
      <c r="S150" s="133"/>
      <c r="T150" s="133"/>
      <c r="U150" s="134"/>
      <c r="V150" s="132"/>
      <c r="W150" s="133"/>
      <c r="X150" s="133"/>
      <c r="Y150" s="134"/>
      <c r="Z150" s="157">
        <f t="shared" si="11"/>
        <v>1</v>
      </c>
      <c r="AA150" s="133"/>
      <c r="AB150" s="133"/>
      <c r="AC150" s="134"/>
      <c r="AD150" s="133"/>
      <c r="AE150" s="133"/>
      <c r="AF150" s="134"/>
    </row>
    <row r="151" spans="1:32" ht="99.95" customHeight="1" x14ac:dyDescent="0.2">
      <c r="A151" s="93">
        <v>145</v>
      </c>
      <c r="B151" s="90">
        <v>54</v>
      </c>
      <c r="C151" s="314" t="s">
        <v>513</v>
      </c>
      <c r="D151" s="294" t="s">
        <v>517</v>
      </c>
      <c r="E151" s="90">
        <v>5</v>
      </c>
      <c r="F151" s="316" t="s">
        <v>511</v>
      </c>
      <c r="G151" s="328">
        <f>VLOOKUP(A151,'2.2.Evaluación MGGTI'!$A$6:$F$207,6,0)</f>
        <v>1</v>
      </c>
      <c r="H151" s="107"/>
      <c r="I151" s="107"/>
      <c r="J151" s="107"/>
      <c r="K151" s="107"/>
      <c r="L151" s="108"/>
      <c r="M151" s="132"/>
      <c r="N151" s="133"/>
      <c r="O151" s="133"/>
      <c r="P151" s="133"/>
      <c r="Q151" s="134"/>
      <c r="R151" s="132"/>
      <c r="S151" s="133"/>
      <c r="T151" s="133"/>
      <c r="U151" s="134"/>
      <c r="V151" s="132"/>
      <c r="W151" s="133"/>
      <c r="X151" s="133"/>
      <c r="Y151" s="134"/>
      <c r="Z151" s="157">
        <f t="shared" si="11"/>
        <v>1</v>
      </c>
      <c r="AA151" s="133"/>
      <c r="AB151" s="133"/>
      <c r="AC151" s="134"/>
      <c r="AD151" s="133"/>
      <c r="AE151" s="133"/>
      <c r="AF151" s="134"/>
    </row>
    <row r="152" spans="1:32" ht="99.95" customHeight="1" x14ac:dyDescent="0.2">
      <c r="A152" s="93">
        <v>146</v>
      </c>
      <c r="B152" s="90">
        <v>55</v>
      </c>
      <c r="C152" s="314" t="s">
        <v>518</v>
      </c>
      <c r="D152" s="119" t="s">
        <v>519</v>
      </c>
      <c r="E152" s="90">
        <v>4</v>
      </c>
      <c r="F152" s="316" t="s">
        <v>511</v>
      </c>
      <c r="G152" s="328">
        <f>VLOOKUP(A152,'2.2.Evaluación MGGTI'!$A$6:$F$207,6,0)</f>
        <v>1</v>
      </c>
      <c r="H152" s="107"/>
      <c r="I152" s="107"/>
      <c r="J152" s="107"/>
      <c r="K152" s="107"/>
      <c r="L152" s="108"/>
      <c r="M152" s="132"/>
      <c r="N152" s="133"/>
      <c r="O152" s="133"/>
      <c r="P152" s="133"/>
      <c r="Q152" s="134"/>
      <c r="R152" s="132"/>
      <c r="S152" s="133"/>
      <c r="T152" s="133"/>
      <c r="U152" s="134"/>
      <c r="V152" s="132"/>
      <c r="W152" s="133"/>
      <c r="X152" s="133"/>
      <c r="Y152" s="134"/>
      <c r="Z152" s="132"/>
      <c r="AA152" s="11">
        <f t="shared" ref="AA152:AA163" si="12">G152</f>
        <v>1</v>
      </c>
      <c r="AB152" s="133"/>
      <c r="AC152" s="134"/>
      <c r="AD152" s="133"/>
      <c r="AE152" s="133"/>
      <c r="AF152" s="134"/>
    </row>
    <row r="153" spans="1:32" ht="99.95" customHeight="1" x14ac:dyDescent="0.2">
      <c r="A153" s="93">
        <v>147</v>
      </c>
      <c r="B153" s="90">
        <v>55</v>
      </c>
      <c r="C153" s="314" t="s">
        <v>518</v>
      </c>
      <c r="D153" s="119" t="s">
        <v>520</v>
      </c>
      <c r="E153" s="90">
        <v>3</v>
      </c>
      <c r="F153" s="316" t="s">
        <v>511</v>
      </c>
      <c r="G153" s="328">
        <f>VLOOKUP(A153,'2.2.Evaluación MGGTI'!$A$6:$F$207,6,0)</f>
        <v>1</v>
      </c>
      <c r="H153" s="107"/>
      <c r="I153" s="107"/>
      <c r="J153" s="107"/>
      <c r="K153" s="107"/>
      <c r="L153" s="108"/>
      <c r="M153" s="132"/>
      <c r="N153" s="133"/>
      <c r="O153" s="133"/>
      <c r="P153" s="133"/>
      <c r="Q153" s="134"/>
      <c r="R153" s="132"/>
      <c r="S153" s="133"/>
      <c r="T153" s="133"/>
      <c r="U153" s="134"/>
      <c r="V153" s="132"/>
      <c r="W153" s="133"/>
      <c r="X153" s="133"/>
      <c r="Y153" s="134"/>
      <c r="Z153" s="132"/>
      <c r="AA153" s="11">
        <f t="shared" si="12"/>
        <v>1</v>
      </c>
      <c r="AB153" s="133"/>
      <c r="AC153" s="134"/>
      <c r="AD153" s="133"/>
      <c r="AE153" s="133"/>
      <c r="AF153" s="134"/>
    </row>
    <row r="154" spans="1:32" ht="99.95" customHeight="1" x14ac:dyDescent="0.2">
      <c r="A154" s="93">
        <v>148</v>
      </c>
      <c r="B154" s="90">
        <v>55</v>
      </c>
      <c r="C154" s="314" t="s">
        <v>518</v>
      </c>
      <c r="D154" s="119" t="s">
        <v>521</v>
      </c>
      <c r="E154" s="90">
        <v>2</v>
      </c>
      <c r="F154" s="316" t="s">
        <v>511</v>
      </c>
      <c r="G154" s="328">
        <f>VLOOKUP(A154,'2.2.Evaluación MGGTI'!$A$6:$F$207,6,0)</f>
        <v>1</v>
      </c>
      <c r="H154" s="107"/>
      <c r="I154" s="107"/>
      <c r="J154" s="107"/>
      <c r="K154" s="107"/>
      <c r="L154" s="108"/>
      <c r="M154" s="132"/>
      <c r="N154" s="133"/>
      <c r="O154" s="133"/>
      <c r="P154" s="133"/>
      <c r="Q154" s="134"/>
      <c r="R154" s="132"/>
      <c r="S154" s="133"/>
      <c r="T154" s="133"/>
      <c r="U154" s="134"/>
      <c r="V154" s="132"/>
      <c r="W154" s="133"/>
      <c r="X154" s="133"/>
      <c r="Y154" s="134"/>
      <c r="Z154" s="132"/>
      <c r="AA154" s="11">
        <f t="shared" si="12"/>
        <v>1</v>
      </c>
      <c r="AB154" s="133"/>
      <c r="AC154" s="134"/>
      <c r="AD154" s="133"/>
      <c r="AE154" s="133"/>
      <c r="AF154" s="134"/>
    </row>
    <row r="155" spans="1:32" ht="99.95" customHeight="1" x14ac:dyDescent="0.2">
      <c r="A155" s="93">
        <v>149</v>
      </c>
      <c r="B155" s="90">
        <v>56</v>
      </c>
      <c r="C155" s="314" t="s">
        <v>522</v>
      </c>
      <c r="D155" s="119" t="s">
        <v>523</v>
      </c>
      <c r="E155" s="90">
        <v>2</v>
      </c>
      <c r="F155" s="316" t="s">
        <v>511</v>
      </c>
      <c r="G155" s="328">
        <f>VLOOKUP(A155,'2.2.Evaluación MGGTI'!$A$6:$F$207,6,0)</f>
        <v>1</v>
      </c>
      <c r="H155" s="107"/>
      <c r="I155" s="107"/>
      <c r="J155" s="107"/>
      <c r="K155" s="107"/>
      <c r="L155" s="108"/>
      <c r="M155" s="132"/>
      <c r="N155" s="133"/>
      <c r="O155" s="133"/>
      <c r="P155" s="133"/>
      <c r="Q155" s="134"/>
      <c r="R155" s="132"/>
      <c r="S155" s="133"/>
      <c r="T155" s="133"/>
      <c r="U155" s="134"/>
      <c r="V155" s="132"/>
      <c r="W155" s="133"/>
      <c r="X155" s="133"/>
      <c r="Y155" s="134"/>
      <c r="Z155" s="132"/>
      <c r="AA155" s="11">
        <f t="shared" si="12"/>
        <v>1</v>
      </c>
      <c r="AB155" s="133"/>
      <c r="AC155" s="134"/>
      <c r="AD155" s="133"/>
      <c r="AE155" s="133"/>
      <c r="AF155" s="134"/>
    </row>
    <row r="156" spans="1:32" ht="99.95" customHeight="1" x14ac:dyDescent="0.2">
      <c r="A156" s="93">
        <v>150</v>
      </c>
      <c r="B156" s="90">
        <v>56</v>
      </c>
      <c r="C156" s="314" t="s">
        <v>522</v>
      </c>
      <c r="D156" s="119" t="s">
        <v>524</v>
      </c>
      <c r="E156" s="90">
        <v>3</v>
      </c>
      <c r="F156" s="316" t="s">
        <v>511</v>
      </c>
      <c r="G156" s="328">
        <f>VLOOKUP(A156,'2.2.Evaluación MGGTI'!$A$6:$F$207,6,0)</f>
        <v>1</v>
      </c>
      <c r="H156" s="107"/>
      <c r="I156" s="107"/>
      <c r="J156" s="107"/>
      <c r="K156" s="107"/>
      <c r="L156" s="108"/>
      <c r="M156" s="132"/>
      <c r="N156" s="133"/>
      <c r="O156" s="133"/>
      <c r="P156" s="133"/>
      <c r="Q156" s="134"/>
      <c r="R156" s="132"/>
      <c r="S156" s="133"/>
      <c r="T156" s="133"/>
      <c r="U156" s="134"/>
      <c r="V156" s="132"/>
      <c r="W156" s="133"/>
      <c r="X156" s="133"/>
      <c r="Y156" s="134"/>
      <c r="Z156" s="132"/>
      <c r="AA156" s="11">
        <f t="shared" si="12"/>
        <v>1</v>
      </c>
      <c r="AB156" s="133"/>
      <c r="AC156" s="134"/>
      <c r="AD156" s="133"/>
      <c r="AE156" s="133"/>
      <c r="AF156" s="134"/>
    </row>
    <row r="157" spans="1:32" ht="99.95" customHeight="1" x14ac:dyDescent="0.2">
      <c r="A157" s="93">
        <v>151</v>
      </c>
      <c r="B157" s="90">
        <v>56</v>
      </c>
      <c r="C157" s="314" t="s">
        <v>522</v>
      </c>
      <c r="D157" s="119" t="s">
        <v>525</v>
      </c>
      <c r="E157" s="90">
        <v>4</v>
      </c>
      <c r="F157" s="316" t="s">
        <v>511</v>
      </c>
      <c r="G157" s="328">
        <f>VLOOKUP(A157,'2.2.Evaluación MGGTI'!$A$6:$F$207,6,0)</f>
        <v>1</v>
      </c>
      <c r="H157" s="107"/>
      <c r="I157" s="107"/>
      <c r="J157" s="107"/>
      <c r="K157" s="107"/>
      <c r="L157" s="108"/>
      <c r="M157" s="132"/>
      <c r="N157" s="133"/>
      <c r="O157" s="133"/>
      <c r="P157" s="133"/>
      <c r="Q157" s="134"/>
      <c r="R157" s="132"/>
      <c r="S157" s="133"/>
      <c r="T157" s="133"/>
      <c r="U157" s="134"/>
      <c r="V157" s="132"/>
      <c r="W157" s="133"/>
      <c r="X157" s="133"/>
      <c r="Y157" s="134"/>
      <c r="Z157" s="132"/>
      <c r="AA157" s="11">
        <f t="shared" si="12"/>
        <v>1</v>
      </c>
      <c r="AB157" s="133"/>
      <c r="AC157" s="134"/>
      <c r="AD157" s="133"/>
      <c r="AE157" s="133"/>
      <c r="AF157" s="134"/>
    </row>
    <row r="158" spans="1:32" ht="99.95" customHeight="1" x14ac:dyDescent="0.2">
      <c r="A158" s="93">
        <v>152</v>
      </c>
      <c r="B158" s="90">
        <v>57</v>
      </c>
      <c r="C158" s="314" t="s">
        <v>526</v>
      </c>
      <c r="D158" s="119" t="s">
        <v>527</v>
      </c>
      <c r="E158" s="90">
        <v>2</v>
      </c>
      <c r="F158" s="316" t="s">
        <v>511</v>
      </c>
      <c r="G158" s="328">
        <f>VLOOKUP(A158,'2.2.Evaluación MGGTI'!$A$6:$F$207,6,0)</f>
        <v>1</v>
      </c>
      <c r="H158" s="107"/>
      <c r="I158" s="107"/>
      <c r="J158" s="107"/>
      <c r="K158" s="107"/>
      <c r="L158" s="108"/>
      <c r="M158" s="132"/>
      <c r="N158" s="133"/>
      <c r="O158" s="133"/>
      <c r="P158" s="133"/>
      <c r="Q158" s="134"/>
      <c r="R158" s="132"/>
      <c r="S158" s="133"/>
      <c r="T158" s="133"/>
      <c r="U158" s="134"/>
      <c r="V158" s="132"/>
      <c r="W158" s="133"/>
      <c r="X158" s="133"/>
      <c r="Y158" s="134"/>
      <c r="Z158" s="132"/>
      <c r="AA158" s="11">
        <f t="shared" si="12"/>
        <v>1</v>
      </c>
      <c r="AB158" s="133"/>
      <c r="AC158" s="134"/>
      <c r="AD158" s="133"/>
      <c r="AE158" s="133"/>
      <c r="AF158" s="134"/>
    </row>
    <row r="159" spans="1:32" ht="99.95" customHeight="1" x14ac:dyDescent="0.2">
      <c r="A159" s="93">
        <v>153</v>
      </c>
      <c r="B159" s="90">
        <v>57</v>
      </c>
      <c r="C159" s="314" t="s">
        <v>526</v>
      </c>
      <c r="D159" s="119" t="s">
        <v>528</v>
      </c>
      <c r="E159" s="90">
        <v>3</v>
      </c>
      <c r="F159" s="316" t="s">
        <v>511</v>
      </c>
      <c r="G159" s="328">
        <f>VLOOKUP(A159,'2.2.Evaluación MGGTI'!$A$6:$F$207,6,0)</f>
        <v>1</v>
      </c>
      <c r="H159" s="107"/>
      <c r="I159" s="107"/>
      <c r="J159" s="107"/>
      <c r="K159" s="107"/>
      <c r="L159" s="108"/>
      <c r="M159" s="132"/>
      <c r="N159" s="133"/>
      <c r="O159" s="133"/>
      <c r="P159" s="133"/>
      <c r="Q159" s="134"/>
      <c r="R159" s="132"/>
      <c r="S159" s="133"/>
      <c r="T159" s="133"/>
      <c r="U159" s="134"/>
      <c r="V159" s="132"/>
      <c r="W159" s="133"/>
      <c r="X159" s="133"/>
      <c r="Y159" s="134"/>
      <c r="Z159" s="132"/>
      <c r="AA159" s="11">
        <f t="shared" si="12"/>
        <v>1</v>
      </c>
      <c r="AB159" s="133"/>
      <c r="AC159" s="134"/>
      <c r="AD159" s="133"/>
      <c r="AE159" s="133"/>
      <c r="AF159" s="134"/>
    </row>
    <row r="160" spans="1:32" ht="99.95" customHeight="1" x14ac:dyDescent="0.2">
      <c r="A160" s="93">
        <v>154</v>
      </c>
      <c r="B160" s="90">
        <v>57</v>
      </c>
      <c r="C160" s="314" t="s">
        <v>526</v>
      </c>
      <c r="D160" s="119" t="s">
        <v>529</v>
      </c>
      <c r="E160" s="90">
        <v>4</v>
      </c>
      <c r="F160" s="316" t="s">
        <v>511</v>
      </c>
      <c r="G160" s="328">
        <f>VLOOKUP(A160,'2.2.Evaluación MGGTI'!$A$6:$F$207,6,0)</f>
        <v>1</v>
      </c>
      <c r="H160" s="107"/>
      <c r="I160" s="107"/>
      <c r="J160" s="107"/>
      <c r="K160" s="107"/>
      <c r="L160" s="108"/>
      <c r="M160" s="132"/>
      <c r="N160" s="133"/>
      <c r="O160" s="133"/>
      <c r="P160" s="133"/>
      <c r="Q160" s="134"/>
      <c r="R160" s="132"/>
      <c r="S160" s="133"/>
      <c r="T160" s="133"/>
      <c r="U160" s="134"/>
      <c r="V160" s="132"/>
      <c r="W160" s="133"/>
      <c r="X160" s="133"/>
      <c r="Y160" s="134"/>
      <c r="Z160" s="132"/>
      <c r="AA160" s="11">
        <f t="shared" si="12"/>
        <v>1</v>
      </c>
      <c r="AB160" s="133"/>
      <c r="AC160" s="134"/>
      <c r="AD160" s="133"/>
      <c r="AE160" s="133"/>
      <c r="AF160" s="134"/>
    </row>
    <row r="161" spans="1:32" ht="99.95" customHeight="1" x14ac:dyDescent="0.2">
      <c r="A161" s="93">
        <v>155</v>
      </c>
      <c r="B161" s="90">
        <v>58</v>
      </c>
      <c r="C161" s="314" t="s">
        <v>530</v>
      </c>
      <c r="D161" s="119" t="s">
        <v>531</v>
      </c>
      <c r="E161" s="90">
        <v>2</v>
      </c>
      <c r="F161" s="316" t="s">
        <v>511</v>
      </c>
      <c r="G161" s="328">
        <f>VLOOKUP(A161,'2.2.Evaluación MGGTI'!$A$6:$F$207,6,0)</f>
        <v>1</v>
      </c>
      <c r="H161" s="107"/>
      <c r="I161" s="107"/>
      <c r="J161" s="107"/>
      <c r="K161" s="107"/>
      <c r="L161" s="108"/>
      <c r="M161" s="132"/>
      <c r="N161" s="133"/>
      <c r="O161" s="133"/>
      <c r="P161" s="133"/>
      <c r="Q161" s="134"/>
      <c r="R161" s="132"/>
      <c r="S161" s="133"/>
      <c r="T161" s="133"/>
      <c r="U161" s="134"/>
      <c r="V161" s="132"/>
      <c r="W161" s="133"/>
      <c r="X161" s="133"/>
      <c r="Y161" s="134"/>
      <c r="Z161" s="132"/>
      <c r="AA161" s="11">
        <f t="shared" si="12"/>
        <v>1</v>
      </c>
      <c r="AB161" s="133"/>
      <c r="AC161" s="134"/>
      <c r="AD161" s="133"/>
      <c r="AE161" s="133"/>
      <c r="AF161" s="134"/>
    </row>
    <row r="162" spans="1:32" ht="99.95" customHeight="1" x14ac:dyDescent="0.2">
      <c r="A162" s="93">
        <v>156</v>
      </c>
      <c r="B162" s="90">
        <v>58</v>
      </c>
      <c r="C162" s="314" t="s">
        <v>530</v>
      </c>
      <c r="D162" s="119" t="s">
        <v>532</v>
      </c>
      <c r="E162" s="90">
        <v>3</v>
      </c>
      <c r="F162" s="316" t="s">
        <v>511</v>
      </c>
      <c r="G162" s="328">
        <f>VLOOKUP(A162,'2.2.Evaluación MGGTI'!$A$6:$F$207,6,0)</f>
        <v>1</v>
      </c>
      <c r="H162" s="107"/>
      <c r="I162" s="107"/>
      <c r="J162" s="107"/>
      <c r="K162" s="107"/>
      <c r="L162" s="108"/>
      <c r="M162" s="132"/>
      <c r="N162" s="133"/>
      <c r="O162" s="133"/>
      <c r="P162" s="133"/>
      <c r="Q162" s="134"/>
      <c r="R162" s="132"/>
      <c r="S162" s="133"/>
      <c r="T162" s="133"/>
      <c r="U162" s="134"/>
      <c r="V162" s="132"/>
      <c r="W162" s="133"/>
      <c r="X162" s="133"/>
      <c r="Y162" s="134"/>
      <c r="Z162" s="132"/>
      <c r="AA162" s="11">
        <f t="shared" si="12"/>
        <v>1</v>
      </c>
      <c r="AB162" s="133"/>
      <c r="AC162" s="134"/>
      <c r="AD162" s="133"/>
      <c r="AE162" s="133"/>
      <c r="AF162" s="134"/>
    </row>
    <row r="163" spans="1:32" ht="99.95" customHeight="1" x14ac:dyDescent="0.2">
      <c r="A163" s="93">
        <v>157</v>
      </c>
      <c r="B163" s="90">
        <v>58</v>
      </c>
      <c r="C163" s="314" t="s">
        <v>530</v>
      </c>
      <c r="D163" s="119" t="s">
        <v>533</v>
      </c>
      <c r="E163" s="90">
        <v>4</v>
      </c>
      <c r="F163" s="316" t="s">
        <v>511</v>
      </c>
      <c r="G163" s="328">
        <f>VLOOKUP(A163,'2.2.Evaluación MGGTI'!$A$6:$F$207,6,0)</f>
        <v>1</v>
      </c>
      <c r="H163" s="107"/>
      <c r="I163" s="107"/>
      <c r="J163" s="107"/>
      <c r="K163" s="107"/>
      <c r="L163" s="108"/>
      <c r="M163" s="132"/>
      <c r="N163" s="133"/>
      <c r="O163" s="133"/>
      <c r="P163" s="133"/>
      <c r="Q163" s="134"/>
      <c r="R163" s="132"/>
      <c r="S163" s="133"/>
      <c r="T163" s="133"/>
      <c r="U163" s="134"/>
      <c r="V163" s="132"/>
      <c r="W163" s="133"/>
      <c r="X163" s="133"/>
      <c r="Y163" s="134"/>
      <c r="Z163" s="132"/>
      <c r="AA163" s="11">
        <f t="shared" si="12"/>
        <v>1</v>
      </c>
      <c r="AB163" s="133"/>
      <c r="AC163" s="134"/>
      <c r="AD163" s="133"/>
      <c r="AE163" s="133"/>
      <c r="AF163" s="134"/>
    </row>
    <row r="164" spans="1:32" ht="99.95" customHeight="1" x14ac:dyDescent="0.2">
      <c r="A164" s="93">
        <v>158</v>
      </c>
      <c r="B164" s="90">
        <v>58</v>
      </c>
      <c r="C164" s="314" t="s">
        <v>530</v>
      </c>
      <c r="D164" s="119" t="s">
        <v>534</v>
      </c>
      <c r="E164" s="90">
        <v>5</v>
      </c>
      <c r="F164" s="316" t="s">
        <v>511</v>
      </c>
      <c r="G164" s="328">
        <f>VLOOKUP(A164,'2.2.Evaluación MGGTI'!$A$6:$F$207,6,0)</f>
        <v>1</v>
      </c>
      <c r="H164" s="107"/>
      <c r="I164" s="107"/>
      <c r="J164" s="107"/>
      <c r="K164" s="107"/>
      <c r="L164" s="108"/>
      <c r="M164" s="132"/>
      <c r="N164" s="133"/>
      <c r="O164" s="133"/>
      <c r="P164" s="133"/>
      <c r="Q164" s="134"/>
      <c r="R164" s="132"/>
      <c r="S164" s="133"/>
      <c r="T164" s="133"/>
      <c r="U164" s="134"/>
      <c r="V164" s="132"/>
      <c r="W164" s="133"/>
      <c r="X164" s="133"/>
      <c r="Y164" s="134"/>
      <c r="Z164" s="132"/>
      <c r="AA164" s="152"/>
      <c r="AB164" s="133"/>
      <c r="AC164" s="134"/>
      <c r="AD164" s="133"/>
      <c r="AE164" s="133"/>
      <c r="AF164" s="134"/>
    </row>
    <row r="165" spans="1:32" ht="99.95" customHeight="1" x14ac:dyDescent="0.2">
      <c r="A165" s="93">
        <v>159</v>
      </c>
      <c r="B165" s="90">
        <v>59</v>
      </c>
      <c r="C165" s="314" t="s">
        <v>535</v>
      </c>
      <c r="D165" s="119" t="s">
        <v>536</v>
      </c>
      <c r="E165" s="90">
        <v>2</v>
      </c>
      <c r="F165" s="316" t="s">
        <v>511</v>
      </c>
      <c r="G165" s="328">
        <f>VLOOKUP(A165,'2.2.Evaluación MGGTI'!$A$6:$F$207,6,0)</f>
        <v>1</v>
      </c>
      <c r="H165" s="107"/>
      <c r="I165" s="107"/>
      <c r="J165" s="107"/>
      <c r="K165" s="107"/>
      <c r="L165" s="108"/>
      <c r="M165" s="132"/>
      <c r="N165" s="133"/>
      <c r="O165" s="133"/>
      <c r="P165" s="133"/>
      <c r="Q165" s="134"/>
      <c r="R165" s="132"/>
      <c r="S165" s="133"/>
      <c r="T165" s="133"/>
      <c r="U165" s="134"/>
      <c r="V165" s="132"/>
      <c r="W165" s="133"/>
      <c r="X165" s="133"/>
      <c r="Y165" s="134"/>
      <c r="Z165" s="132"/>
      <c r="AA165" s="11">
        <f>G165</f>
        <v>1</v>
      </c>
      <c r="AB165" s="133"/>
      <c r="AC165" s="134"/>
      <c r="AD165" s="133"/>
      <c r="AE165" s="133"/>
      <c r="AF165" s="134"/>
    </row>
    <row r="166" spans="1:32" ht="99.95" customHeight="1" x14ac:dyDescent="0.2">
      <c r="A166" s="93">
        <v>160</v>
      </c>
      <c r="B166" s="90">
        <v>59</v>
      </c>
      <c r="C166" s="314" t="s">
        <v>535</v>
      </c>
      <c r="D166" s="119" t="s">
        <v>537</v>
      </c>
      <c r="E166" s="90">
        <v>3</v>
      </c>
      <c r="F166" s="316" t="s">
        <v>511</v>
      </c>
      <c r="G166" s="328">
        <f>VLOOKUP(A166,'2.2.Evaluación MGGTI'!$A$6:$F$207,6,0)</f>
        <v>1</v>
      </c>
      <c r="H166" s="107"/>
      <c r="I166" s="107"/>
      <c r="J166" s="107"/>
      <c r="K166" s="107"/>
      <c r="L166" s="108"/>
      <c r="M166" s="132"/>
      <c r="N166" s="133"/>
      <c r="O166" s="133"/>
      <c r="P166" s="133"/>
      <c r="Q166" s="134"/>
      <c r="R166" s="132"/>
      <c r="S166" s="133"/>
      <c r="T166" s="133"/>
      <c r="U166" s="134"/>
      <c r="V166" s="132"/>
      <c r="W166" s="133"/>
      <c r="X166" s="133"/>
      <c r="Y166" s="134"/>
      <c r="Z166" s="132"/>
      <c r="AA166" s="11">
        <f>G166</f>
        <v>1</v>
      </c>
      <c r="AB166" s="133"/>
      <c r="AC166" s="134"/>
      <c r="AD166" s="133"/>
      <c r="AE166" s="133"/>
      <c r="AF166" s="134"/>
    </row>
    <row r="167" spans="1:32" ht="99.95" customHeight="1" x14ac:dyDescent="0.2">
      <c r="A167" s="93">
        <v>161</v>
      </c>
      <c r="B167" s="90">
        <v>59</v>
      </c>
      <c r="C167" s="314" t="s">
        <v>535</v>
      </c>
      <c r="D167" s="119" t="s">
        <v>538</v>
      </c>
      <c r="E167" s="90">
        <v>4</v>
      </c>
      <c r="F167" s="316" t="s">
        <v>511</v>
      </c>
      <c r="G167" s="328">
        <f>VLOOKUP(A167,'2.2.Evaluación MGGTI'!$A$6:$F$207,6,0)</f>
        <v>1</v>
      </c>
      <c r="H167" s="107"/>
      <c r="I167" s="107"/>
      <c r="J167" s="107"/>
      <c r="K167" s="107"/>
      <c r="L167" s="108"/>
      <c r="M167" s="132"/>
      <c r="N167" s="133"/>
      <c r="O167" s="133"/>
      <c r="P167" s="133"/>
      <c r="Q167" s="134"/>
      <c r="R167" s="132"/>
      <c r="S167" s="133"/>
      <c r="T167" s="133"/>
      <c r="U167" s="134"/>
      <c r="V167" s="132"/>
      <c r="W167" s="133"/>
      <c r="X167" s="133"/>
      <c r="Y167" s="134"/>
      <c r="Z167" s="132"/>
      <c r="AA167" s="11">
        <f>G167</f>
        <v>1</v>
      </c>
      <c r="AB167" s="133"/>
      <c r="AC167" s="134"/>
      <c r="AD167" s="133"/>
      <c r="AE167" s="133"/>
      <c r="AF167" s="134"/>
    </row>
    <row r="168" spans="1:32" ht="99.95" customHeight="1" x14ac:dyDescent="0.2">
      <c r="A168" s="93">
        <v>162</v>
      </c>
      <c r="B168" s="90">
        <v>59</v>
      </c>
      <c r="C168" s="314" t="s">
        <v>535</v>
      </c>
      <c r="D168" s="316" t="s">
        <v>539</v>
      </c>
      <c r="E168" s="90">
        <v>5</v>
      </c>
      <c r="F168" s="316" t="s">
        <v>511</v>
      </c>
      <c r="G168" s="328">
        <f>VLOOKUP(A168,'2.2.Evaluación MGGTI'!$A$6:$F$207,6,0)</f>
        <v>1</v>
      </c>
      <c r="H168" s="107"/>
      <c r="I168" s="107"/>
      <c r="J168" s="107"/>
      <c r="K168" s="107"/>
      <c r="L168" s="108"/>
      <c r="M168" s="132"/>
      <c r="N168" s="133"/>
      <c r="O168" s="133"/>
      <c r="P168" s="133"/>
      <c r="Q168" s="134"/>
      <c r="R168" s="132"/>
      <c r="S168" s="133"/>
      <c r="T168" s="133"/>
      <c r="U168" s="134"/>
      <c r="V168" s="132"/>
      <c r="W168" s="133"/>
      <c r="X168" s="133"/>
      <c r="Y168" s="134"/>
      <c r="Z168" s="132"/>
      <c r="AA168" s="11">
        <f>G168</f>
        <v>1</v>
      </c>
      <c r="AB168" s="133"/>
      <c r="AC168" s="134"/>
      <c r="AD168" s="133"/>
      <c r="AE168" s="133"/>
      <c r="AF168" s="134"/>
    </row>
    <row r="169" spans="1:32" ht="99.95" customHeight="1" x14ac:dyDescent="0.2">
      <c r="A169" s="93">
        <v>163</v>
      </c>
      <c r="B169" s="90">
        <v>60</v>
      </c>
      <c r="C169" s="314" t="s">
        <v>540</v>
      </c>
      <c r="D169" s="119" t="s">
        <v>541</v>
      </c>
      <c r="E169" s="90">
        <v>2</v>
      </c>
      <c r="F169" s="316" t="s">
        <v>511</v>
      </c>
      <c r="G169" s="328">
        <f>VLOOKUP(A169,'2.2.Evaluación MGGTI'!$A$6:$F$207,6,0)</f>
        <v>1</v>
      </c>
      <c r="H169" s="107"/>
      <c r="I169" s="107"/>
      <c r="J169" s="107"/>
      <c r="K169" s="107"/>
      <c r="L169" s="108"/>
      <c r="M169" s="132"/>
      <c r="N169" s="133"/>
      <c r="O169" s="133"/>
      <c r="P169" s="133"/>
      <c r="Q169" s="134"/>
      <c r="R169" s="132"/>
      <c r="S169" s="133"/>
      <c r="T169" s="133"/>
      <c r="U169" s="134"/>
      <c r="V169" s="132"/>
      <c r="W169" s="133"/>
      <c r="X169" s="133"/>
      <c r="Y169" s="134"/>
      <c r="Z169" s="132"/>
      <c r="AA169" s="133"/>
      <c r="AB169" s="133"/>
      <c r="AC169" s="156">
        <f t="shared" ref="AC169:AC176" si="13">G169</f>
        <v>1</v>
      </c>
      <c r="AD169" s="133"/>
      <c r="AE169" s="133"/>
      <c r="AF169" s="134"/>
    </row>
    <row r="170" spans="1:32" ht="99.95" customHeight="1" x14ac:dyDescent="0.2">
      <c r="A170" s="93">
        <v>164</v>
      </c>
      <c r="B170" s="90">
        <v>60</v>
      </c>
      <c r="C170" s="314" t="s">
        <v>540</v>
      </c>
      <c r="D170" s="119" t="s">
        <v>542</v>
      </c>
      <c r="E170" s="90">
        <v>3</v>
      </c>
      <c r="F170" s="316" t="s">
        <v>511</v>
      </c>
      <c r="G170" s="328">
        <f>VLOOKUP(A170,'2.2.Evaluación MGGTI'!$A$6:$F$207,6,0)</f>
        <v>1</v>
      </c>
      <c r="H170" s="107"/>
      <c r="I170" s="107"/>
      <c r="J170" s="107"/>
      <c r="K170" s="107"/>
      <c r="L170" s="108"/>
      <c r="M170" s="132"/>
      <c r="N170" s="133"/>
      <c r="O170" s="133"/>
      <c r="P170" s="133"/>
      <c r="Q170" s="134"/>
      <c r="R170" s="132"/>
      <c r="S170" s="133"/>
      <c r="T170" s="133"/>
      <c r="U170" s="134"/>
      <c r="V170" s="132"/>
      <c r="W170" s="133"/>
      <c r="X170" s="133"/>
      <c r="Y170" s="134"/>
      <c r="Z170" s="132"/>
      <c r="AA170" s="133"/>
      <c r="AB170" s="133"/>
      <c r="AC170" s="156">
        <f t="shared" si="13"/>
        <v>1</v>
      </c>
      <c r="AD170" s="133"/>
      <c r="AE170" s="133"/>
      <c r="AF170" s="134"/>
    </row>
    <row r="171" spans="1:32" ht="99.95" customHeight="1" x14ac:dyDescent="0.2">
      <c r="A171" s="93">
        <v>165</v>
      </c>
      <c r="B171" s="90">
        <v>60</v>
      </c>
      <c r="C171" s="314" t="s">
        <v>540</v>
      </c>
      <c r="D171" s="316" t="s">
        <v>543</v>
      </c>
      <c r="E171" s="90">
        <v>4</v>
      </c>
      <c r="F171" s="316" t="s">
        <v>511</v>
      </c>
      <c r="G171" s="328">
        <f>VLOOKUP(A171,'2.2.Evaluación MGGTI'!$A$6:$F$207,6,0)</f>
        <v>1</v>
      </c>
      <c r="H171" s="107"/>
      <c r="I171" s="107"/>
      <c r="J171" s="107"/>
      <c r="K171" s="107"/>
      <c r="L171" s="108"/>
      <c r="M171" s="132"/>
      <c r="N171" s="133"/>
      <c r="O171" s="133"/>
      <c r="P171" s="133"/>
      <c r="Q171" s="134"/>
      <c r="R171" s="132"/>
      <c r="S171" s="133"/>
      <c r="T171" s="133"/>
      <c r="U171" s="134"/>
      <c r="V171" s="132"/>
      <c r="W171" s="133"/>
      <c r="X171" s="133"/>
      <c r="Y171" s="134"/>
      <c r="Z171" s="132"/>
      <c r="AA171" s="133"/>
      <c r="AB171" s="133"/>
      <c r="AC171" s="156">
        <f t="shared" si="13"/>
        <v>1</v>
      </c>
      <c r="AD171" s="133"/>
      <c r="AE171" s="133"/>
      <c r="AF171" s="134"/>
    </row>
    <row r="172" spans="1:32" ht="99.95" customHeight="1" x14ac:dyDescent="0.2">
      <c r="A172" s="93">
        <v>166</v>
      </c>
      <c r="B172" s="90">
        <v>60</v>
      </c>
      <c r="C172" s="314" t="s">
        <v>540</v>
      </c>
      <c r="D172" s="316" t="s">
        <v>544</v>
      </c>
      <c r="E172" s="90">
        <v>5</v>
      </c>
      <c r="F172" s="316" t="s">
        <v>511</v>
      </c>
      <c r="G172" s="328">
        <f>VLOOKUP(A172,'2.2.Evaluación MGGTI'!$A$6:$F$207,6,0)</f>
        <v>1</v>
      </c>
      <c r="H172" s="107"/>
      <c r="I172" s="107"/>
      <c r="J172" s="107"/>
      <c r="K172" s="107"/>
      <c r="L172" s="108"/>
      <c r="M172" s="132"/>
      <c r="N172" s="133"/>
      <c r="O172" s="133"/>
      <c r="P172" s="133"/>
      <c r="Q172" s="134"/>
      <c r="R172" s="132"/>
      <c r="S172" s="133"/>
      <c r="T172" s="133"/>
      <c r="U172" s="134"/>
      <c r="V172" s="132"/>
      <c r="W172" s="133"/>
      <c r="X172" s="133"/>
      <c r="Y172" s="134"/>
      <c r="Z172" s="132"/>
      <c r="AA172" s="133"/>
      <c r="AB172" s="133"/>
      <c r="AC172" s="156">
        <f t="shared" si="13"/>
        <v>1</v>
      </c>
      <c r="AD172" s="133"/>
      <c r="AE172" s="133"/>
      <c r="AF172" s="134"/>
    </row>
    <row r="173" spans="1:32" ht="99.95" customHeight="1" x14ac:dyDescent="0.2">
      <c r="A173" s="93">
        <v>167</v>
      </c>
      <c r="B173" s="90">
        <v>61</v>
      </c>
      <c r="C173" s="314" t="s">
        <v>545</v>
      </c>
      <c r="D173" s="319" t="s">
        <v>546</v>
      </c>
      <c r="E173" s="90">
        <v>2</v>
      </c>
      <c r="F173" s="316" t="s">
        <v>511</v>
      </c>
      <c r="G173" s="328">
        <f>VLOOKUP(A173,'2.2.Evaluación MGGTI'!$A$6:$F$207,6,0)</f>
        <v>1</v>
      </c>
      <c r="H173" s="107"/>
      <c r="I173" s="107"/>
      <c r="J173" s="107"/>
      <c r="K173" s="107"/>
      <c r="L173" s="108"/>
      <c r="M173" s="132"/>
      <c r="N173" s="133"/>
      <c r="O173" s="133"/>
      <c r="P173" s="133"/>
      <c r="Q173" s="134"/>
      <c r="R173" s="132"/>
      <c r="S173" s="133"/>
      <c r="T173" s="133"/>
      <c r="U173" s="134"/>
      <c r="V173" s="132"/>
      <c r="W173" s="133"/>
      <c r="X173" s="133"/>
      <c r="Y173" s="134"/>
      <c r="Z173" s="132"/>
      <c r="AA173" s="133"/>
      <c r="AB173" s="133"/>
      <c r="AC173" s="156">
        <f t="shared" si="13"/>
        <v>1</v>
      </c>
      <c r="AD173" s="133"/>
      <c r="AE173" s="133"/>
      <c r="AF173" s="134"/>
    </row>
    <row r="174" spans="1:32" ht="99.95" customHeight="1" x14ac:dyDescent="0.2">
      <c r="A174" s="93">
        <v>168</v>
      </c>
      <c r="B174" s="90">
        <v>61</v>
      </c>
      <c r="C174" s="314" t="s">
        <v>545</v>
      </c>
      <c r="D174" s="119" t="s">
        <v>547</v>
      </c>
      <c r="E174" s="90">
        <v>3</v>
      </c>
      <c r="F174" s="316" t="s">
        <v>511</v>
      </c>
      <c r="G174" s="328">
        <f>VLOOKUP(A174,'2.2.Evaluación MGGTI'!$A$6:$F$207,6,0)</f>
        <v>1</v>
      </c>
      <c r="H174" s="107"/>
      <c r="I174" s="107"/>
      <c r="J174" s="107"/>
      <c r="K174" s="107"/>
      <c r="L174" s="108"/>
      <c r="M174" s="132"/>
      <c r="N174" s="133"/>
      <c r="O174" s="133"/>
      <c r="P174" s="133"/>
      <c r="Q174" s="134"/>
      <c r="R174" s="132"/>
      <c r="S174" s="133"/>
      <c r="T174" s="133"/>
      <c r="U174" s="134"/>
      <c r="V174" s="132"/>
      <c r="W174" s="133"/>
      <c r="X174" s="133"/>
      <c r="Y174" s="134"/>
      <c r="Z174" s="132"/>
      <c r="AA174" s="133"/>
      <c r="AB174" s="133"/>
      <c r="AC174" s="156">
        <f t="shared" si="13"/>
        <v>1</v>
      </c>
      <c r="AD174" s="133"/>
      <c r="AE174" s="133"/>
      <c r="AF174" s="134"/>
    </row>
    <row r="175" spans="1:32" ht="99.95" customHeight="1" x14ac:dyDescent="0.2">
      <c r="A175" s="93">
        <v>169</v>
      </c>
      <c r="B175" s="90">
        <v>61</v>
      </c>
      <c r="C175" s="314" t="s">
        <v>545</v>
      </c>
      <c r="D175" s="314" t="s">
        <v>548</v>
      </c>
      <c r="E175" s="90">
        <v>4</v>
      </c>
      <c r="F175" s="316" t="s">
        <v>511</v>
      </c>
      <c r="G175" s="328">
        <f>VLOOKUP(A175,'2.2.Evaluación MGGTI'!$A$6:$F$207,6,0)</f>
        <v>1</v>
      </c>
      <c r="H175" s="107"/>
      <c r="I175" s="107"/>
      <c r="J175" s="107"/>
      <c r="K175" s="107"/>
      <c r="L175" s="108"/>
      <c r="M175" s="132"/>
      <c r="N175" s="133"/>
      <c r="O175" s="133"/>
      <c r="P175" s="133"/>
      <c r="Q175" s="134"/>
      <c r="R175" s="132"/>
      <c r="S175" s="133"/>
      <c r="T175" s="133"/>
      <c r="U175" s="134"/>
      <c r="V175" s="132"/>
      <c r="W175" s="133"/>
      <c r="X175" s="133"/>
      <c r="Y175" s="134"/>
      <c r="Z175" s="132"/>
      <c r="AA175" s="133"/>
      <c r="AB175" s="133"/>
      <c r="AC175" s="156">
        <f t="shared" si="13"/>
        <v>1</v>
      </c>
      <c r="AD175" s="133"/>
      <c r="AE175" s="133"/>
      <c r="AF175" s="134"/>
    </row>
    <row r="176" spans="1:32" ht="99.95" customHeight="1" x14ac:dyDescent="0.2">
      <c r="A176" s="93">
        <v>170</v>
      </c>
      <c r="B176" s="90">
        <v>61</v>
      </c>
      <c r="C176" s="314" t="s">
        <v>545</v>
      </c>
      <c r="D176" s="314" t="s">
        <v>549</v>
      </c>
      <c r="E176" s="90">
        <v>5</v>
      </c>
      <c r="F176" s="316" t="s">
        <v>511</v>
      </c>
      <c r="G176" s="328">
        <f>VLOOKUP(A176,'2.2.Evaluación MGGTI'!$A$6:$F$207,6,0)</f>
        <v>1</v>
      </c>
      <c r="H176" s="107"/>
      <c r="I176" s="107"/>
      <c r="J176" s="107"/>
      <c r="K176" s="107"/>
      <c r="L176" s="108"/>
      <c r="M176" s="132"/>
      <c r="N176" s="133"/>
      <c r="O176" s="133"/>
      <c r="P176" s="133"/>
      <c r="Q176" s="134"/>
      <c r="R176" s="132"/>
      <c r="S176" s="133"/>
      <c r="T176" s="133"/>
      <c r="U176" s="134"/>
      <c r="V176" s="132"/>
      <c r="W176" s="133"/>
      <c r="X176" s="133"/>
      <c r="Y176" s="134"/>
      <c r="Z176" s="132"/>
      <c r="AA176" s="133"/>
      <c r="AB176" s="133"/>
      <c r="AC176" s="156">
        <f t="shared" si="13"/>
        <v>1</v>
      </c>
      <c r="AD176" s="133"/>
      <c r="AE176" s="133"/>
      <c r="AF176" s="134"/>
    </row>
    <row r="177" spans="1:32" ht="99.95" customHeight="1" x14ac:dyDescent="0.2">
      <c r="A177" s="93">
        <v>171</v>
      </c>
      <c r="B177" s="90">
        <v>62</v>
      </c>
      <c r="C177" s="314" t="s">
        <v>550</v>
      </c>
      <c r="D177" s="314" t="s">
        <v>551</v>
      </c>
      <c r="E177" s="90">
        <v>2</v>
      </c>
      <c r="F177" s="316" t="s">
        <v>511</v>
      </c>
      <c r="G177" s="328">
        <f>VLOOKUP(A177,'2.2.Evaluación MGGTI'!$A$6:$F$207,6,0)</f>
        <v>1</v>
      </c>
      <c r="H177" s="107"/>
      <c r="I177" s="107"/>
      <c r="J177" s="107"/>
      <c r="K177" s="107"/>
      <c r="L177" s="108"/>
      <c r="M177" s="132"/>
      <c r="N177" s="133"/>
      <c r="O177" s="133"/>
      <c r="P177" s="133"/>
      <c r="Q177" s="134"/>
      <c r="R177" s="132"/>
      <c r="S177" s="133"/>
      <c r="T177" s="133"/>
      <c r="U177" s="134"/>
      <c r="V177" s="132"/>
      <c r="W177" s="133"/>
      <c r="X177" s="133"/>
      <c r="Y177" s="134"/>
      <c r="Z177" s="132"/>
      <c r="AA177" s="11">
        <f t="shared" ref="AA177:AA183" si="14">G177</f>
        <v>1</v>
      </c>
      <c r="AB177" s="133"/>
      <c r="AC177" s="134"/>
      <c r="AD177" s="133"/>
      <c r="AE177" s="133"/>
      <c r="AF177" s="134"/>
    </row>
    <row r="178" spans="1:32" ht="99.95" customHeight="1" x14ac:dyDescent="0.2">
      <c r="A178" s="93">
        <v>172</v>
      </c>
      <c r="B178" s="90">
        <v>62</v>
      </c>
      <c r="C178" s="314" t="s">
        <v>550</v>
      </c>
      <c r="D178" s="314" t="s">
        <v>552</v>
      </c>
      <c r="E178" s="90">
        <v>3</v>
      </c>
      <c r="F178" s="316" t="s">
        <v>511</v>
      </c>
      <c r="G178" s="328">
        <f>VLOOKUP(A178,'2.2.Evaluación MGGTI'!$A$6:$F$207,6,0)</f>
        <v>1</v>
      </c>
      <c r="H178" s="107"/>
      <c r="I178" s="107"/>
      <c r="J178" s="107"/>
      <c r="K178" s="107"/>
      <c r="L178" s="108"/>
      <c r="M178" s="132"/>
      <c r="N178" s="133"/>
      <c r="O178" s="133"/>
      <c r="P178" s="133"/>
      <c r="Q178" s="134"/>
      <c r="R178" s="132"/>
      <c r="S178" s="133"/>
      <c r="T178" s="133"/>
      <c r="U178" s="134"/>
      <c r="V178" s="132"/>
      <c r="W178" s="133"/>
      <c r="X178" s="133"/>
      <c r="Y178" s="134"/>
      <c r="Z178" s="132"/>
      <c r="AA178" s="11">
        <f t="shared" si="14"/>
        <v>1</v>
      </c>
      <c r="AB178" s="133"/>
      <c r="AC178" s="134"/>
      <c r="AD178" s="133"/>
      <c r="AE178" s="133"/>
      <c r="AF178" s="134"/>
    </row>
    <row r="179" spans="1:32" ht="99.95" customHeight="1" x14ac:dyDescent="0.2">
      <c r="A179" s="93">
        <v>173</v>
      </c>
      <c r="B179" s="90">
        <v>62</v>
      </c>
      <c r="C179" s="314" t="s">
        <v>550</v>
      </c>
      <c r="D179" s="314" t="s">
        <v>553</v>
      </c>
      <c r="E179" s="90">
        <v>4</v>
      </c>
      <c r="F179" s="316" t="s">
        <v>511</v>
      </c>
      <c r="G179" s="328">
        <f>VLOOKUP(A179,'2.2.Evaluación MGGTI'!$A$6:$F$207,6,0)</f>
        <v>1</v>
      </c>
      <c r="H179" s="107"/>
      <c r="I179" s="107"/>
      <c r="J179" s="107"/>
      <c r="K179" s="107"/>
      <c r="L179" s="108"/>
      <c r="M179" s="132"/>
      <c r="N179" s="133"/>
      <c r="O179" s="133"/>
      <c r="P179" s="133"/>
      <c r="Q179" s="134"/>
      <c r="R179" s="132"/>
      <c r="S179" s="133"/>
      <c r="T179" s="133"/>
      <c r="U179" s="134"/>
      <c r="V179" s="132"/>
      <c r="W179" s="133"/>
      <c r="X179" s="133"/>
      <c r="Y179" s="134"/>
      <c r="Z179" s="132"/>
      <c r="AA179" s="11">
        <f t="shared" si="14"/>
        <v>1</v>
      </c>
      <c r="AB179" s="133"/>
      <c r="AC179" s="134"/>
      <c r="AD179" s="133"/>
      <c r="AE179" s="133"/>
      <c r="AF179" s="134"/>
    </row>
    <row r="180" spans="1:32" ht="99.95" customHeight="1" x14ac:dyDescent="0.2">
      <c r="A180" s="93">
        <v>174</v>
      </c>
      <c r="B180" s="90">
        <v>62</v>
      </c>
      <c r="C180" s="314" t="s">
        <v>550</v>
      </c>
      <c r="D180" s="314" t="s">
        <v>554</v>
      </c>
      <c r="E180" s="90">
        <v>5</v>
      </c>
      <c r="F180" s="316" t="s">
        <v>511</v>
      </c>
      <c r="G180" s="328">
        <f>VLOOKUP(A180,'2.2.Evaluación MGGTI'!$A$6:$F$207,6,0)</f>
        <v>1</v>
      </c>
      <c r="H180" s="107"/>
      <c r="I180" s="107"/>
      <c r="J180" s="107"/>
      <c r="K180" s="107"/>
      <c r="L180" s="108"/>
      <c r="M180" s="132"/>
      <c r="N180" s="133"/>
      <c r="O180" s="133"/>
      <c r="P180" s="133"/>
      <c r="Q180" s="134"/>
      <c r="R180" s="132"/>
      <c r="S180" s="133"/>
      <c r="T180" s="133"/>
      <c r="U180" s="134"/>
      <c r="V180" s="132"/>
      <c r="W180" s="133"/>
      <c r="X180" s="133"/>
      <c r="Y180" s="134"/>
      <c r="Z180" s="132"/>
      <c r="AA180" s="11">
        <f t="shared" si="14"/>
        <v>1</v>
      </c>
      <c r="AB180" s="133"/>
      <c r="AC180" s="134"/>
      <c r="AD180" s="133"/>
      <c r="AE180" s="133"/>
      <c r="AF180" s="134"/>
    </row>
    <row r="181" spans="1:32" ht="99.95" customHeight="1" x14ac:dyDescent="0.2">
      <c r="A181" s="93">
        <v>175</v>
      </c>
      <c r="B181" s="90">
        <v>62</v>
      </c>
      <c r="C181" s="314" t="s">
        <v>555</v>
      </c>
      <c r="D181" s="314" t="s">
        <v>556</v>
      </c>
      <c r="E181" s="90">
        <v>3</v>
      </c>
      <c r="F181" s="316" t="s">
        <v>511</v>
      </c>
      <c r="G181" s="328">
        <f>VLOOKUP(A181,'2.2.Evaluación MGGTI'!$A$6:$F$207,6,0)</f>
        <v>1</v>
      </c>
      <c r="H181" s="107"/>
      <c r="I181" s="107"/>
      <c r="J181" s="107"/>
      <c r="K181" s="107"/>
      <c r="L181" s="108"/>
      <c r="M181" s="132"/>
      <c r="N181" s="133"/>
      <c r="O181" s="133"/>
      <c r="P181" s="133"/>
      <c r="Q181" s="134"/>
      <c r="R181" s="132"/>
      <c r="S181" s="133"/>
      <c r="T181" s="133"/>
      <c r="U181" s="134"/>
      <c r="V181" s="132"/>
      <c r="W181" s="133"/>
      <c r="X181" s="133"/>
      <c r="Y181" s="134"/>
      <c r="Z181" s="132"/>
      <c r="AA181" s="11">
        <f t="shared" si="14"/>
        <v>1</v>
      </c>
      <c r="AB181" s="133"/>
      <c r="AC181" s="134"/>
      <c r="AD181" s="133"/>
      <c r="AE181" s="133"/>
      <c r="AF181" s="134"/>
    </row>
    <row r="182" spans="1:32" ht="99.95" customHeight="1" x14ac:dyDescent="0.2">
      <c r="A182" s="93">
        <v>176</v>
      </c>
      <c r="B182" s="90">
        <v>63</v>
      </c>
      <c r="C182" s="314" t="s">
        <v>557</v>
      </c>
      <c r="D182" s="119" t="s">
        <v>558</v>
      </c>
      <c r="E182" s="90">
        <v>2</v>
      </c>
      <c r="F182" s="316" t="s">
        <v>511</v>
      </c>
      <c r="G182" s="328">
        <f>VLOOKUP(A182,'2.2.Evaluación MGGTI'!$A$6:$F$207,6,0)</f>
        <v>1</v>
      </c>
      <c r="H182" s="107"/>
      <c r="I182" s="107"/>
      <c r="J182" s="107"/>
      <c r="K182" s="107"/>
      <c r="L182" s="108"/>
      <c r="M182" s="132"/>
      <c r="N182" s="133"/>
      <c r="O182" s="133"/>
      <c r="P182" s="133"/>
      <c r="Q182" s="134"/>
      <c r="R182" s="132"/>
      <c r="S182" s="133"/>
      <c r="T182" s="133"/>
      <c r="U182" s="134"/>
      <c r="V182" s="132"/>
      <c r="W182" s="133"/>
      <c r="X182" s="133"/>
      <c r="Y182" s="134"/>
      <c r="Z182" s="132"/>
      <c r="AA182" s="11">
        <f t="shared" si="14"/>
        <v>1</v>
      </c>
      <c r="AB182" s="133"/>
      <c r="AC182" s="134"/>
      <c r="AD182" s="133"/>
      <c r="AE182" s="133"/>
      <c r="AF182" s="134"/>
    </row>
    <row r="183" spans="1:32" ht="99.95" customHeight="1" x14ac:dyDescent="0.2">
      <c r="A183" s="93">
        <v>177</v>
      </c>
      <c r="B183" s="90">
        <v>63</v>
      </c>
      <c r="C183" s="314" t="s">
        <v>557</v>
      </c>
      <c r="D183" s="119" t="s">
        <v>559</v>
      </c>
      <c r="E183" s="90">
        <v>3</v>
      </c>
      <c r="F183" s="316" t="s">
        <v>511</v>
      </c>
      <c r="G183" s="328">
        <f>VLOOKUP(A183,'2.2.Evaluación MGGTI'!$A$6:$F$207,6,0)</f>
        <v>1</v>
      </c>
      <c r="H183" s="107"/>
      <c r="I183" s="107"/>
      <c r="J183" s="107"/>
      <c r="K183" s="107"/>
      <c r="L183" s="108"/>
      <c r="M183" s="132"/>
      <c r="N183" s="133"/>
      <c r="O183" s="133"/>
      <c r="P183" s="133"/>
      <c r="Q183" s="134"/>
      <c r="R183" s="132"/>
      <c r="S183" s="133"/>
      <c r="T183" s="133"/>
      <c r="U183" s="134"/>
      <c r="V183" s="132"/>
      <c r="W183" s="133"/>
      <c r="X183" s="133"/>
      <c r="Y183" s="134"/>
      <c r="Z183" s="132"/>
      <c r="AA183" s="11">
        <f t="shared" si="14"/>
        <v>1</v>
      </c>
      <c r="AB183" s="133"/>
      <c r="AC183" s="134"/>
      <c r="AD183" s="133"/>
      <c r="AE183" s="133"/>
      <c r="AF183" s="134"/>
    </row>
    <row r="184" spans="1:32" ht="99.95" customHeight="1" x14ac:dyDescent="0.2">
      <c r="A184" s="93">
        <v>178</v>
      </c>
      <c r="B184" s="90">
        <v>64</v>
      </c>
      <c r="C184" s="314" t="s">
        <v>560</v>
      </c>
      <c r="D184" s="314" t="s">
        <v>561</v>
      </c>
      <c r="E184" s="90">
        <v>2</v>
      </c>
      <c r="F184" s="316" t="s">
        <v>511</v>
      </c>
      <c r="G184" s="328">
        <f>VLOOKUP(A184,'2.2.Evaluación MGGTI'!$A$6:$F$207,6,0)</f>
        <v>1</v>
      </c>
      <c r="H184" s="107"/>
      <c r="I184" s="107"/>
      <c r="J184" s="107"/>
      <c r="K184" s="107"/>
      <c r="L184" s="108"/>
      <c r="M184" s="132"/>
      <c r="N184" s="133"/>
      <c r="O184" s="133"/>
      <c r="P184" s="133"/>
      <c r="Q184" s="134"/>
      <c r="R184" s="132"/>
      <c r="S184" s="133"/>
      <c r="T184" s="133"/>
      <c r="U184" s="134"/>
      <c r="V184" s="132"/>
      <c r="W184" s="133"/>
      <c r="X184" s="133"/>
      <c r="Y184" s="134"/>
      <c r="Z184" s="132"/>
      <c r="AA184" s="133"/>
      <c r="AB184" s="11">
        <f t="shared" ref="AB184:AB190" si="15">G184</f>
        <v>1</v>
      </c>
      <c r="AC184" s="134"/>
      <c r="AD184" s="133"/>
      <c r="AE184" s="133"/>
      <c r="AF184" s="134"/>
    </row>
    <row r="185" spans="1:32" ht="99.95" customHeight="1" x14ac:dyDescent="0.2">
      <c r="A185" s="93">
        <v>179</v>
      </c>
      <c r="B185" s="90">
        <v>64</v>
      </c>
      <c r="C185" s="314" t="s">
        <v>560</v>
      </c>
      <c r="D185" s="119" t="s">
        <v>562</v>
      </c>
      <c r="E185" s="90">
        <v>3</v>
      </c>
      <c r="F185" s="316" t="s">
        <v>511</v>
      </c>
      <c r="G185" s="328">
        <f>VLOOKUP(A185,'2.2.Evaluación MGGTI'!$A$6:$F$207,6,0)</f>
        <v>1</v>
      </c>
      <c r="H185" s="107"/>
      <c r="I185" s="107"/>
      <c r="J185" s="107"/>
      <c r="K185" s="107"/>
      <c r="L185" s="108"/>
      <c r="M185" s="132"/>
      <c r="N185" s="133"/>
      <c r="O185" s="133"/>
      <c r="P185" s="133"/>
      <c r="Q185" s="134"/>
      <c r="R185" s="132"/>
      <c r="S185" s="133"/>
      <c r="T185" s="133"/>
      <c r="U185" s="134"/>
      <c r="V185" s="132"/>
      <c r="W185" s="133"/>
      <c r="X185" s="133"/>
      <c r="Y185" s="134"/>
      <c r="Z185" s="132"/>
      <c r="AA185" s="133"/>
      <c r="AB185" s="11">
        <f t="shared" si="15"/>
        <v>1</v>
      </c>
      <c r="AC185" s="134"/>
      <c r="AD185" s="133"/>
      <c r="AE185" s="133"/>
      <c r="AF185" s="134"/>
    </row>
    <row r="186" spans="1:32" ht="99.95" customHeight="1" x14ac:dyDescent="0.2">
      <c r="A186" s="93">
        <v>180</v>
      </c>
      <c r="B186" s="90">
        <v>64</v>
      </c>
      <c r="C186" s="314" t="s">
        <v>560</v>
      </c>
      <c r="D186" s="314" t="s">
        <v>563</v>
      </c>
      <c r="E186" s="90">
        <v>4</v>
      </c>
      <c r="F186" s="316" t="s">
        <v>511</v>
      </c>
      <c r="G186" s="328">
        <f>VLOOKUP(A186,'2.2.Evaluación MGGTI'!$A$6:$F$207,6,0)</f>
        <v>1</v>
      </c>
      <c r="H186" s="107"/>
      <c r="I186" s="107"/>
      <c r="J186" s="107"/>
      <c r="K186" s="107"/>
      <c r="L186" s="108"/>
      <c r="M186" s="132"/>
      <c r="N186" s="133"/>
      <c r="O186" s="133"/>
      <c r="P186" s="133"/>
      <c r="Q186" s="134"/>
      <c r="R186" s="132"/>
      <c r="S186" s="133"/>
      <c r="T186" s="133"/>
      <c r="U186" s="134"/>
      <c r="V186" s="132"/>
      <c r="W186" s="133"/>
      <c r="X186" s="133"/>
      <c r="Y186" s="134"/>
      <c r="Z186" s="132"/>
      <c r="AA186" s="133"/>
      <c r="AB186" s="11">
        <f t="shared" si="15"/>
        <v>1</v>
      </c>
      <c r="AC186" s="134"/>
      <c r="AD186" s="133"/>
      <c r="AE186" s="133"/>
      <c r="AF186" s="134"/>
    </row>
    <row r="187" spans="1:32" ht="99.95" customHeight="1" x14ac:dyDescent="0.2">
      <c r="A187" s="93">
        <v>181</v>
      </c>
      <c r="B187" s="90">
        <v>64</v>
      </c>
      <c r="C187" s="314" t="s">
        <v>560</v>
      </c>
      <c r="D187" s="314" t="s">
        <v>564</v>
      </c>
      <c r="E187" s="90">
        <v>5</v>
      </c>
      <c r="F187" s="316" t="s">
        <v>511</v>
      </c>
      <c r="G187" s="328">
        <f>VLOOKUP(A187,'2.2.Evaluación MGGTI'!$A$6:$F$207,6,0)</f>
        <v>1</v>
      </c>
      <c r="H187" s="107"/>
      <c r="I187" s="107"/>
      <c r="J187" s="107"/>
      <c r="K187" s="107"/>
      <c r="L187" s="108"/>
      <c r="M187" s="132"/>
      <c r="N187" s="133"/>
      <c r="O187" s="133"/>
      <c r="P187" s="133"/>
      <c r="Q187" s="134"/>
      <c r="R187" s="132"/>
      <c r="S187" s="133"/>
      <c r="T187" s="133"/>
      <c r="U187" s="134"/>
      <c r="V187" s="132"/>
      <c r="W187" s="133"/>
      <c r="X187" s="133"/>
      <c r="Y187" s="134"/>
      <c r="Z187" s="132"/>
      <c r="AA187" s="133"/>
      <c r="AB187" s="11">
        <f t="shared" si="15"/>
        <v>1</v>
      </c>
      <c r="AC187" s="134"/>
      <c r="AD187" s="133"/>
      <c r="AE187" s="133"/>
      <c r="AF187" s="134"/>
    </row>
    <row r="188" spans="1:32" ht="99.95" customHeight="1" x14ac:dyDescent="0.2">
      <c r="A188" s="93">
        <v>182</v>
      </c>
      <c r="B188" s="90">
        <v>65</v>
      </c>
      <c r="C188" s="314" t="s">
        <v>565</v>
      </c>
      <c r="D188" s="319" t="s">
        <v>566</v>
      </c>
      <c r="E188" s="90">
        <v>2</v>
      </c>
      <c r="F188" s="316" t="s">
        <v>511</v>
      </c>
      <c r="G188" s="328">
        <f>VLOOKUP(A188,'2.2.Evaluación MGGTI'!$A$6:$F$207,6,0)</f>
        <v>1</v>
      </c>
      <c r="H188" s="107"/>
      <c r="I188" s="107"/>
      <c r="J188" s="107"/>
      <c r="K188" s="107"/>
      <c r="L188" s="108"/>
      <c r="M188" s="132"/>
      <c r="N188" s="133"/>
      <c r="O188" s="133"/>
      <c r="P188" s="133"/>
      <c r="Q188" s="134"/>
      <c r="R188" s="132"/>
      <c r="S188" s="133"/>
      <c r="T188" s="133"/>
      <c r="U188" s="134"/>
      <c r="V188" s="132"/>
      <c r="W188" s="133"/>
      <c r="X188" s="133"/>
      <c r="Y188" s="134"/>
      <c r="Z188" s="132"/>
      <c r="AA188" s="133"/>
      <c r="AB188" s="11">
        <f t="shared" si="15"/>
        <v>1</v>
      </c>
      <c r="AC188" s="134"/>
      <c r="AD188" s="133"/>
      <c r="AE188" s="133"/>
      <c r="AF188" s="134"/>
    </row>
    <row r="189" spans="1:32" ht="99.95" customHeight="1" x14ac:dyDescent="0.2">
      <c r="A189" s="93">
        <v>183</v>
      </c>
      <c r="B189" s="90">
        <v>65</v>
      </c>
      <c r="C189" s="314" t="s">
        <v>565</v>
      </c>
      <c r="D189" s="319" t="s">
        <v>567</v>
      </c>
      <c r="E189" s="90">
        <v>3</v>
      </c>
      <c r="F189" s="316" t="s">
        <v>511</v>
      </c>
      <c r="G189" s="328">
        <f>VLOOKUP(A189,'2.2.Evaluación MGGTI'!$A$6:$F$207,6,0)</f>
        <v>1</v>
      </c>
      <c r="H189" s="107"/>
      <c r="I189" s="107"/>
      <c r="J189" s="107"/>
      <c r="K189" s="107"/>
      <c r="L189" s="108"/>
      <c r="M189" s="132"/>
      <c r="N189" s="133"/>
      <c r="O189" s="133"/>
      <c r="P189" s="133"/>
      <c r="Q189" s="134"/>
      <c r="R189" s="132"/>
      <c r="S189" s="133"/>
      <c r="T189" s="133"/>
      <c r="U189" s="134"/>
      <c r="V189" s="132"/>
      <c r="W189" s="133"/>
      <c r="X189" s="133"/>
      <c r="Y189" s="134"/>
      <c r="Z189" s="132"/>
      <c r="AA189" s="133"/>
      <c r="AB189" s="11">
        <f t="shared" si="15"/>
        <v>1</v>
      </c>
      <c r="AC189" s="134"/>
      <c r="AD189" s="133"/>
      <c r="AE189" s="133"/>
      <c r="AF189" s="134"/>
    </row>
    <row r="190" spans="1:32" ht="99.95" customHeight="1" x14ac:dyDescent="0.2">
      <c r="A190" s="93">
        <v>184</v>
      </c>
      <c r="B190" s="90">
        <v>65</v>
      </c>
      <c r="C190" s="314" t="s">
        <v>565</v>
      </c>
      <c r="D190" s="319" t="s">
        <v>568</v>
      </c>
      <c r="E190" s="90">
        <v>4</v>
      </c>
      <c r="F190" s="316" t="s">
        <v>511</v>
      </c>
      <c r="G190" s="328">
        <f>VLOOKUP(A190,'2.2.Evaluación MGGTI'!$A$6:$F$207,6,0)</f>
        <v>1</v>
      </c>
      <c r="H190" s="107"/>
      <c r="I190" s="107"/>
      <c r="J190" s="107"/>
      <c r="K190" s="107"/>
      <c r="L190" s="108"/>
      <c r="M190" s="132"/>
      <c r="N190" s="133"/>
      <c r="O190" s="133"/>
      <c r="P190" s="133"/>
      <c r="Q190" s="134"/>
      <c r="R190" s="132"/>
      <c r="S190" s="133"/>
      <c r="T190" s="133"/>
      <c r="U190" s="134"/>
      <c r="V190" s="132"/>
      <c r="W190" s="133"/>
      <c r="X190" s="133"/>
      <c r="Y190" s="134"/>
      <c r="Z190" s="132"/>
      <c r="AA190" s="133"/>
      <c r="AB190" s="11">
        <f t="shared" si="15"/>
        <v>1</v>
      </c>
      <c r="AC190" s="134"/>
      <c r="AD190" s="133"/>
      <c r="AE190" s="133"/>
      <c r="AF190" s="134"/>
    </row>
    <row r="191" spans="1:32" ht="99.95" customHeight="1" x14ac:dyDescent="0.2">
      <c r="A191" s="93">
        <v>185</v>
      </c>
      <c r="B191" s="90">
        <v>66</v>
      </c>
      <c r="C191" s="320" t="s">
        <v>569</v>
      </c>
      <c r="D191" s="319" t="s">
        <v>570</v>
      </c>
      <c r="E191" s="90">
        <v>2</v>
      </c>
      <c r="F191" s="316" t="s">
        <v>511</v>
      </c>
      <c r="G191" s="328">
        <f>VLOOKUP(A191,'2.2.Evaluación MGGTI'!$A$6:$F$207,6,0)</f>
        <v>1</v>
      </c>
      <c r="H191" s="133"/>
      <c r="I191" s="133"/>
      <c r="J191" s="133"/>
      <c r="K191" s="133"/>
      <c r="L191" s="134"/>
      <c r="M191" s="132"/>
      <c r="N191" s="133"/>
      <c r="O191" s="133"/>
      <c r="P191" s="133"/>
      <c r="Q191" s="134"/>
      <c r="R191" s="132"/>
      <c r="S191" s="133"/>
      <c r="T191" s="133"/>
      <c r="U191" s="134"/>
      <c r="V191" s="132"/>
      <c r="W191" s="133"/>
      <c r="X191" s="133"/>
      <c r="Y191" s="134"/>
      <c r="Z191" s="132"/>
      <c r="AA191" s="133"/>
      <c r="AB191" s="133"/>
      <c r="AC191" s="156">
        <f>G191</f>
        <v>1</v>
      </c>
      <c r="AD191" s="133"/>
      <c r="AE191" s="133"/>
      <c r="AF191" s="134"/>
    </row>
    <row r="192" spans="1:32" ht="99.95" customHeight="1" x14ac:dyDescent="0.2">
      <c r="A192" s="93">
        <v>186</v>
      </c>
      <c r="B192" s="90">
        <v>66</v>
      </c>
      <c r="C192" s="320" t="s">
        <v>569</v>
      </c>
      <c r="D192" s="319" t="s">
        <v>571</v>
      </c>
      <c r="E192" s="90">
        <v>3</v>
      </c>
      <c r="F192" s="316" t="s">
        <v>511</v>
      </c>
      <c r="G192" s="328">
        <f>VLOOKUP(A192,'2.2.Evaluación MGGTI'!$A$6:$F$207,6,0)</f>
        <v>1</v>
      </c>
      <c r="H192" s="133"/>
      <c r="I192" s="133"/>
      <c r="J192" s="133"/>
      <c r="K192" s="133"/>
      <c r="L192" s="134"/>
      <c r="M192" s="132"/>
      <c r="N192" s="133"/>
      <c r="O192" s="133"/>
      <c r="P192" s="133"/>
      <c r="Q192" s="134"/>
      <c r="R192" s="132"/>
      <c r="S192" s="133"/>
      <c r="T192" s="133"/>
      <c r="U192" s="134"/>
      <c r="V192" s="132"/>
      <c r="W192" s="133"/>
      <c r="X192" s="133"/>
      <c r="Y192" s="134"/>
      <c r="Z192" s="132"/>
      <c r="AA192" s="133"/>
      <c r="AB192" s="133"/>
      <c r="AC192" s="156">
        <f>G192</f>
        <v>1</v>
      </c>
      <c r="AD192" s="133"/>
      <c r="AE192" s="133"/>
      <c r="AF192" s="134"/>
    </row>
    <row r="193" spans="1:32" ht="99.95" customHeight="1" x14ac:dyDescent="0.2">
      <c r="A193" s="93">
        <v>187</v>
      </c>
      <c r="B193" s="90">
        <v>66</v>
      </c>
      <c r="C193" s="320" t="s">
        <v>569</v>
      </c>
      <c r="D193" s="319" t="s">
        <v>572</v>
      </c>
      <c r="E193" s="90">
        <v>4</v>
      </c>
      <c r="F193" s="316" t="s">
        <v>511</v>
      </c>
      <c r="G193" s="328">
        <f>VLOOKUP(A193,'2.2.Evaluación MGGTI'!$A$6:$F$207,6,0)</f>
        <v>1</v>
      </c>
      <c r="H193" s="133"/>
      <c r="I193" s="133"/>
      <c r="J193" s="133"/>
      <c r="K193" s="133"/>
      <c r="L193" s="134"/>
      <c r="M193" s="132"/>
      <c r="N193" s="133"/>
      <c r="O193" s="133"/>
      <c r="P193" s="133"/>
      <c r="Q193" s="134"/>
      <c r="R193" s="132"/>
      <c r="S193" s="133"/>
      <c r="T193" s="133"/>
      <c r="U193" s="134"/>
      <c r="V193" s="132"/>
      <c r="W193" s="133"/>
      <c r="X193" s="133"/>
      <c r="Y193" s="134"/>
      <c r="Z193" s="132"/>
      <c r="AA193" s="133"/>
      <c r="AB193" s="133"/>
      <c r="AC193" s="156">
        <f>G193</f>
        <v>1</v>
      </c>
      <c r="AD193" s="133"/>
      <c r="AE193" s="133"/>
      <c r="AF193" s="134"/>
    </row>
    <row r="194" spans="1:32" ht="99.95" customHeight="1" x14ac:dyDescent="0.2">
      <c r="A194" s="93">
        <v>188</v>
      </c>
      <c r="B194" s="90">
        <v>67</v>
      </c>
      <c r="C194" s="314" t="s">
        <v>573</v>
      </c>
      <c r="D194" s="314" t="s">
        <v>574</v>
      </c>
      <c r="E194" s="90">
        <v>2</v>
      </c>
      <c r="F194" s="316" t="s">
        <v>575</v>
      </c>
      <c r="G194" s="328">
        <f>VLOOKUP(A194,'2.2.Evaluación MGGTI'!$A$6:$F$207,6,0)</f>
        <v>1</v>
      </c>
      <c r="H194" s="107"/>
      <c r="I194" s="107"/>
      <c r="J194" s="107"/>
      <c r="K194" s="107"/>
      <c r="L194" s="108"/>
      <c r="M194" s="132"/>
      <c r="N194" s="133"/>
      <c r="O194" s="133"/>
      <c r="P194" s="133"/>
      <c r="Q194" s="134"/>
      <c r="R194" s="132"/>
      <c r="S194" s="133"/>
      <c r="T194" s="133"/>
      <c r="U194" s="134"/>
      <c r="V194" s="132"/>
      <c r="W194" s="133"/>
      <c r="X194" s="133"/>
      <c r="Y194" s="134"/>
      <c r="Z194" s="132"/>
      <c r="AA194" s="133"/>
      <c r="AB194" s="133"/>
      <c r="AC194" s="134"/>
      <c r="AD194" s="11">
        <f t="shared" ref="AD194:AD199" si="16">G194</f>
        <v>1</v>
      </c>
      <c r="AE194" s="133"/>
      <c r="AF194" s="134"/>
    </row>
    <row r="195" spans="1:32" ht="99.95" customHeight="1" x14ac:dyDescent="0.2">
      <c r="A195" s="93">
        <v>189</v>
      </c>
      <c r="B195" s="90">
        <v>67</v>
      </c>
      <c r="C195" s="314" t="s">
        <v>573</v>
      </c>
      <c r="D195" s="314" t="s">
        <v>576</v>
      </c>
      <c r="E195" s="90">
        <v>3</v>
      </c>
      <c r="F195" s="316" t="s">
        <v>575</v>
      </c>
      <c r="G195" s="328">
        <f>VLOOKUP(A195,'2.2.Evaluación MGGTI'!$A$6:$F$207,6,0)</f>
        <v>1</v>
      </c>
      <c r="H195" s="107"/>
      <c r="I195" s="107"/>
      <c r="J195" s="107"/>
      <c r="K195" s="107"/>
      <c r="L195" s="108"/>
      <c r="M195" s="132"/>
      <c r="N195" s="133"/>
      <c r="O195" s="133"/>
      <c r="P195" s="133"/>
      <c r="Q195" s="134"/>
      <c r="R195" s="132"/>
      <c r="S195" s="133"/>
      <c r="T195" s="133"/>
      <c r="U195" s="134"/>
      <c r="V195" s="132"/>
      <c r="W195" s="133"/>
      <c r="X195" s="133"/>
      <c r="Y195" s="134"/>
      <c r="Z195" s="132"/>
      <c r="AA195" s="133"/>
      <c r="AB195" s="133"/>
      <c r="AC195" s="134"/>
      <c r="AD195" s="11">
        <f t="shared" si="16"/>
        <v>1</v>
      </c>
      <c r="AE195" s="133"/>
      <c r="AF195" s="134"/>
    </row>
    <row r="196" spans="1:32" ht="99.95" customHeight="1" x14ac:dyDescent="0.2">
      <c r="A196" s="93">
        <v>190</v>
      </c>
      <c r="B196" s="90">
        <v>67</v>
      </c>
      <c r="C196" s="314" t="s">
        <v>573</v>
      </c>
      <c r="D196" s="314" t="s">
        <v>577</v>
      </c>
      <c r="E196" s="90">
        <v>4</v>
      </c>
      <c r="F196" s="316" t="s">
        <v>575</v>
      </c>
      <c r="G196" s="328">
        <f>VLOOKUP(A196,'2.2.Evaluación MGGTI'!$A$6:$F$207,6,0)</f>
        <v>1</v>
      </c>
      <c r="H196" s="107"/>
      <c r="I196" s="107"/>
      <c r="J196" s="107"/>
      <c r="K196" s="107"/>
      <c r="L196" s="108"/>
      <c r="M196" s="132"/>
      <c r="N196" s="133"/>
      <c r="O196" s="133"/>
      <c r="P196" s="133"/>
      <c r="Q196" s="134"/>
      <c r="R196" s="132"/>
      <c r="S196" s="133"/>
      <c r="T196" s="133"/>
      <c r="U196" s="134"/>
      <c r="V196" s="132"/>
      <c r="W196" s="133"/>
      <c r="X196" s="133"/>
      <c r="Y196" s="134"/>
      <c r="Z196" s="132"/>
      <c r="AA196" s="133"/>
      <c r="AB196" s="133"/>
      <c r="AC196" s="134"/>
      <c r="AD196" s="11">
        <f t="shared" si="16"/>
        <v>1</v>
      </c>
      <c r="AE196" s="133"/>
      <c r="AF196" s="134"/>
    </row>
    <row r="197" spans="1:32" ht="99.95" customHeight="1" x14ac:dyDescent="0.2">
      <c r="A197" s="93">
        <v>191</v>
      </c>
      <c r="B197" s="90">
        <v>67</v>
      </c>
      <c r="C197" s="314" t="s">
        <v>573</v>
      </c>
      <c r="D197" s="314" t="s">
        <v>578</v>
      </c>
      <c r="E197" s="90">
        <v>5</v>
      </c>
      <c r="F197" s="316" t="s">
        <v>575</v>
      </c>
      <c r="G197" s="328">
        <f>VLOOKUP(A197,'2.2.Evaluación MGGTI'!$A$6:$F$207,6,0)</f>
        <v>1</v>
      </c>
      <c r="H197" s="107"/>
      <c r="I197" s="107"/>
      <c r="J197" s="107"/>
      <c r="K197" s="107"/>
      <c r="L197" s="108"/>
      <c r="M197" s="132"/>
      <c r="N197" s="133"/>
      <c r="O197" s="133"/>
      <c r="P197" s="133"/>
      <c r="Q197" s="134"/>
      <c r="R197" s="132"/>
      <c r="S197" s="133"/>
      <c r="T197" s="133"/>
      <c r="U197" s="134"/>
      <c r="V197" s="132"/>
      <c r="W197" s="133"/>
      <c r="X197" s="133"/>
      <c r="Y197" s="134"/>
      <c r="Z197" s="132"/>
      <c r="AA197" s="133"/>
      <c r="AB197" s="133"/>
      <c r="AC197" s="134"/>
      <c r="AD197" s="11">
        <f t="shared" si="16"/>
        <v>1</v>
      </c>
      <c r="AE197" s="133"/>
      <c r="AF197" s="134"/>
    </row>
    <row r="198" spans="1:32" ht="99.95" customHeight="1" x14ac:dyDescent="0.2">
      <c r="A198" s="93">
        <v>192</v>
      </c>
      <c r="B198" s="90">
        <v>67</v>
      </c>
      <c r="C198" s="314" t="s">
        <v>573</v>
      </c>
      <c r="D198" s="321" t="s">
        <v>579</v>
      </c>
      <c r="E198" s="90">
        <v>3</v>
      </c>
      <c r="F198" s="316" t="s">
        <v>575</v>
      </c>
      <c r="G198" s="328">
        <f>VLOOKUP(A198,'2.2.Evaluación MGGTI'!$A$6:$F$207,6,0)</f>
        <v>1</v>
      </c>
      <c r="H198" s="107"/>
      <c r="I198" s="107"/>
      <c r="J198" s="107"/>
      <c r="K198" s="107"/>
      <c r="L198" s="108"/>
      <c r="M198" s="132"/>
      <c r="N198" s="133"/>
      <c r="O198" s="133"/>
      <c r="P198" s="133"/>
      <c r="Q198" s="134"/>
      <c r="R198" s="132"/>
      <c r="S198" s="133"/>
      <c r="T198" s="133"/>
      <c r="U198" s="134"/>
      <c r="V198" s="132"/>
      <c r="W198" s="133"/>
      <c r="X198" s="133"/>
      <c r="Y198" s="134"/>
      <c r="Z198" s="132"/>
      <c r="AA198" s="133"/>
      <c r="AB198" s="133"/>
      <c r="AC198" s="134"/>
      <c r="AD198" s="11">
        <f t="shared" si="16"/>
        <v>1</v>
      </c>
      <c r="AE198" s="133"/>
      <c r="AF198" s="134"/>
    </row>
    <row r="199" spans="1:32" ht="99.95" customHeight="1" x14ac:dyDescent="0.2">
      <c r="A199" s="93">
        <v>193</v>
      </c>
      <c r="B199" s="90">
        <v>67</v>
      </c>
      <c r="C199" s="314" t="s">
        <v>573</v>
      </c>
      <c r="D199" s="321" t="s">
        <v>580</v>
      </c>
      <c r="E199" s="90">
        <v>4</v>
      </c>
      <c r="F199" s="316" t="s">
        <v>575</v>
      </c>
      <c r="G199" s="328">
        <f>VLOOKUP(A199,'2.2.Evaluación MGGTI'!$A$6:$F$207,6,0)</f>
        <v>1</v>
      </c>
      <c r="H199" s="107"/>
      <c r="I199" s="107"/>
      <c r="J199" s="107"/>
      <c r="K199" s="107"/>
      <c r="L199" s="108"/>
      <c r="M199" s="132"/>
      <c r="N199" s="133"/>
      <c r="O199" s="133"/>
      <c r="P199" s="133"/>
      <c r="Q199" s="134"/>
      <c r="R199" s="132"/>
      <c r="S199" s="133"/>
      <c r="T199" s="133"/>
      <c r="U199" s="134"/>
      <c r="V199" s="132"/>
      <c r="W199" s="133"/>
      <c r="X199" s="133"/>
      <c r="Y199" s="134"/>
      <c r="Z199" s="132"/>
      <c r="AA199" s="133"/>
      <c r="AB199" s="133"/>
      <c r="AC199" s="134"/>
      <c r="AD199" s="11">
        <f t="shared" si="16"/>
        <v>1</v>
      </c>
      <c r="AE199" s="133"/>
      <c r="AF199" s="134"/>
    </row>
    <row r="200" spans="1:32" ht="99.95" customHeight="1" x14ac:dyDescent="0.2">
      <c r="A200" s="93">
        <v>194</v>
      </c>
      <c r="B200" s="90">
        <v>68</v>
      </c>
      <c r="C200" s="314" t="s">
        <v>581</v>
      </c>
      <c r="D200" s="314" t="s">
        <v>582</v>
      </c>
      <c r="E200" s="90">
        <v>2</v>
      </c>
      <c r="F200" s="316" t="s">
        <v>575</v>
      </c>
      <c r="G200" s="328">
        <f>VLOOKUP(A200,'2.2.Evaluación MGGTI'!$A$6:$F$207,6,0)</f>
        <v>1</v>
      </c>
      <c r="H200" s="107"/>
      <c r="I200" s="107"/>
      <c r="J200" s="107"/>
      <c r="K200" s="107"/>
      <c r="L200" s="108"/>
      <c r="M200" s="132"/>
      <c r="N200" s="133"/>
      <c r="O200" s="133"/>
      <c r="P200" s="133"/>
      <c r="Q200" s="134"/>
      <c r="R200" s="132"/>
      <c r="S200" s="133"/>
      <c r="T200" s="133"/>
      <c r="U200" s="134"/>
      <c r="V200" s="132"/>
      <c r="W200" s="133"/>
      <c r="X200" s="133"/>
      <c r="Y200" s="134"/>
      <c r="Z200" s="132"/>
      <c r="AA200" s="133"/>
      <c r="AB200" s="133"/>
      <c r="AC200" s="134"/>
      <c r="AD200" s="133"/>
      <c r="AE200" s="11">
        <f>G200</f>
        <v>1</v>
      </c>
      <c r="AF200" s="134"/>
    </row>
    <row r="201" spans="1:32" ht="99.95" customHeight="1" x14ac:dyDescent="0.2">
      <c r="A201" s="93">
        <v>195</v>
      </c>
      <c r="B201" s="90">
        <v>68</v>
      </c>
      <c r="C201" s="314" t="s">
        <v>581</v>
      </c>
      <c r="D201" s="314" t="s">
        <v>583</v>
      </c>
      <c r="E201" s="90">
        <v>3</v>
      </c>
      <c r="F201" s="316" t="s">
        <v>575</v>
      </c>
      <c r="G201" s="328">
        <f>VLOOKUP(A201,'2.2.Evaluación MGGTI'!$A$6:$F$207,6,0)</f>
        <v>1</v>
      </c>
      <c r="H201" s="107"/>
      <c r="I201" s="107"/>
      <c r="J201" s="107"/>
      <c r="K201" s="107"/>
      <c r="L201" s="108"/>
      <c r="M201" s="132"/>
      <c r="N201" s="133"/>
      <c r="O201" s="133"/>
      <c r="P201" s="133"/>
      <c r="Q201" s="134"/>
      <c r="R201" s="132"/>
      <c r="S201" s="133"/>
      <c r="T201" s="133"/>
      <c r="U201" s="134"/>
      <c r="V201" s="132"/>
      <c r="W201" s="133"/>
      <c r="X201" s="133"/>
      <c r="Y201" s="134"/>
      <c r="Z201" s="132"/>
      <c r="AA201" s="133"/>
      <c r="AB201" s="133"/>
      <c r="AC201" s="134"/>
      <c r="AD201" s="133"/>
      <c r="AE201" s="11">
        <f>G201</f>
        <v>1</v>
      </c>
      <c r="AF201" s="134"/>
    </row>
    <row r="202" spans="1:32" ht="99.95" customHeight="1" x14ac:dyDescent="0.2">
      <c r="A202" s="93">
        <v>196</v>
      </c>
      <c r="B202" s="90">
        <v>68</v>
      </c>
      <c r="C202" s="314" t="s">
        <v>581</v>
      </c>
      <c r="D202" s="314" t="s">
        <v>584</v>
      </c>
      <c r="E202" s="90">
        <v>4</v>
      </c>
      <c r="F202" s="316" t="s">
        <v>575</v>
      </c>
      <c r="G202" s="328">
        <f>VLOOKUP(A202,'2.2.Evaluación MGGTI'!$A$6:$F$207,6,0)</f>
        <v>1</v>
      </c>
      <c r="H202" s="107"/>
      <c r="I202" s="107"/>
      <c r="J202" s="107"/>
      <c r="K202" s="107"/>
      <c r="L202" s="108"/>
      <c r="M202" s="132"/>
      <c r="N202" s="133"/>
      <c r="O202" s="133"/>
      <c r="P202" s="133"/>
      <c r="Q202" s="134"/>
      <c r="R202" s="132"/>
      <c r="S202" s="133"/>
      <c r="T202" s="133"/>
      <c r="U202" s="134"/>
      <c r="V202" s="132"/>
      <c r="W202" s="133"/>
      <c r="X202" s="133"/>
      <c r="Y202" s="134"/>
      <c r="Z202" s="132"/>
      <c r="AA202" s="133"/>
      <c r="AB202" s="133"/>
      <c r="AC202" s="134"/>
      <c r="AD202" s="133"/>
      <c r="AE202" s="11">
        <f>G202</f>
        <v>1</v>
      </c>
      <c r="AF202" s="134"/>
    </row>
    <row r="203" spans="1:32" ht="99.95" customHeight="1" x14ac:dyDescent="0.2">
      <c r="A203" s="93">
        <v>197</v>
      </c>
      <c r="B203" s="90">
        <v>69</v>
      </c>
      <c r="C203" s="314" t="s">
        <v>585</v>
      </c>
      <c r="D203" s="314" t="s">
        <v>586</v>
      </c>
      <c r="E203" s="90">
        <v>4</v>
      </c>
      <c r="F203" s="316" t="s">
        <v>575</v>
      </c>
      <c r="G203" s="328">
        <f>VLOOKUP(A203,'2.2.Evaluación MGGTI'!$A$6:$F$207,6,0)</f>
        <v>1</v>
      </c>
      <c r="H203" s="107"/>
      <c r="I203" s="107"/>
      <c r="J203" s="107"/>
      <c r="K203" s="107"/>
      <c r="L203" s="108"/>
      <c r="M203" s="132"/>
      <c r="N203" s="133"/>
      <c r="O203" s="133"/>
      <c r="P203" s="133"/>
      <c r="Q203" s="134"/>
      <c r="R203" s="132"/>
      <c r="S203" s="133"/>
      <c r="T203" s="133"/>
      <c r="U203" s="134"/>
      <c r="V203" s="132"/>
      <c r="W203" s="133"/>
      <c r="X203" s="133"/>
      <c r="Y203" s="134"/>
      <c r="Z203" s="132"/>
      <c r="AA203" s="133"/>
      <c r="AB203" s="133"/>
      <c r="AC203" s="134"/>
      <c r="AD203" s="133"/>
      <c r="AE203" s="11">
        <f>G203</f>
        <v>1</v>
      </c>
      <c r="AF203" s="134"/>
    </row>
    <row r="204" spans="1:32" ht="99.95" customHeight="1" x14ac:dyDescent="0.2">
      <c r="A204" s="93">
        <v>198</v>
      </c>
      <c r="B204" s="90">
        <v>70</v>
      </c>
      <c r="C204" s="314" t="s">
        <v>587</v>
      </c>
      <c r="D204" s="314" t="s">
        <v>588</v>
      </c>
      <c r="E204" s="90">
        <v>2</v>
      </c>
      <c r="F204" s="316" t="s">
        <v>575</v>
      </c>
      <c r="G204" s="328">
        <f>VLOOKUP(A204,'2.2.Evaluación MGGTI'!$A$6:$F$207,6,0)</f>
        <v>1</v>
      </c>
      <c r="H204" s="107"/>
      <c r="I204" s="107"/>
      <c r="J204" s="107"/>
      <c r="K204" s="107"/>
      <c r="L204" s="108"/>
      <c r="M204" s="132"/>
      <c r="N204" s="133"/>
      <c r="O204" s="133"/>
      <c r="P204" s="133"/>
      <c r="Q204" s="134"/>
      <c r="R204" s="132"/>
      <c r="S204" s="133"/>
      <c r="T204" s="133"/>
      <c r="U204" s="134"/>
      <c r="V204" s="132"/>
      <c r="W204" s="133"/>
      <c r="X204" s="133"/>
      <c r="Y204" s="134"/>
      <c r="Z204" s="132"/>
      <c r="AA204" s="133"/>
      <c r="AB204" s="133"/>
      <c r="AC204" s="134"/>
      <c r="AD204" s="133"/>
      <c r="AE204" s="133"/>
      <c r="AF204" s="156">
        <f>G204</f>
        <v>1</v>
      </c>
    </row>
    <row r="205" spans="1:32" ht="99.95" customHeight="1" x14ac:dyDescent="0.2">
      <c r="A205" s="93">
        <v>199</v>
      </c>
      <c r="B205" s="90">
        <v>70</v>
      </c>
      <c r="C205" s="314" t="s">
        <v>587</v>
      </c>
      <c r="D205" s="314" t="s">
        <v>589</v>
      </c>
      <c r="E205" s="90">
        <v>3</v>
      </c>
      <c r="F205" s="316" t="s">
        <v>575</v>
      </c>
      <c r="G205" s="328">
        <f>VLOOKUP(A205,'2.2.Evaluación MGGTI'!$A$6:$F$207,6,0)</f>
        <v>1</v>
      </c>
      <c r="H205" s="107"/>
      <c r="I205" s="107"/>
      <c r="J205" s="107"/>
      <c r="K205" s="107"/>
      <c r="L205" s="108"/>
      <c r="M205" s="132"/>
      <c r="N205" s="133"/>
      <c r="O205" s="133"/>
      <c r="P205" s="133"/>
      <c r="Q205" s="134"/>
      <c r="R205" s="132"/>
      <c r="S205" s="133"/>
      <c r="T205" s="133"/>
      <c r="U205" s="134"/>
      <c r="V205" s="132"/>
      <c r="W205" s="133"/>
      <c r="X205" s="133"/>
      <c r="Y205" s="134"/>
      <c r="Z205" s="132"/>
      <c r="AA205" s="133"/>
      <c r="AB205" s="133"/>
      <c r="AC205" s="134"/>
      <c r="AD205" s="133"/>
      <c r="AE205" s="133"/>
      <c r="AF205" s="156">
        <f>G205</f>
        <v>1</v>
      </c>
    </row>
    <row r="206" spans="1:32" ht="99.95" customHeight="1" x14ac:dyDescent="0.2">
      <c r="A206" s="93">
        <v>200</v>
      </c>
      <c r="B206" s="90">
        <v>70</v>
      </c>
      <c r="C206" s="314" t="s">
        <v>587</v>
      </c>
      <c r="D206" s="314" t="s">
        <v>590</v>
      </c>
      <c r="E206" s="90">
        <v>4</v>
      </c>
      <c r="F206" s="316" t="s">
        <v>575</v>
      </c>
      <c r="G206" s="328">
        <f>VLOOKUP(A206,'2.2.Evaluación MGGTI'!$A$6:$F$207,6,0)</f>
        <v>1</v>
      </c>
      <c r="H206" s="107"/>
      <c r="I206" s="107"/>
      <c r="J206" s="107"/>
      <c r="K206" s="107"/>
      <c r="L206" s="108"/>
      <c r="M206" s="132"/>
      <c r="N206" s="133"/>
      <c r="O206" s="133"/>
      <c r="P206" s="133"/>
      <c r="Q206" s="134"/>
      <c r="R206" s="132"/>
      <c r="S206" s="133"/>
      <c r="T206" s="133"/>
      <c r="U206" s="134"/>
      <c r="V206" s="132"/>
      <c r="W206" s="133"/>
      <c r="X206" s="133"/>
      <c r="Y206" s="134"/>
      <c r="Z206" s="132"/>
      <c r="AA206" s="133"/>
      <c r="AB206" s="133"/>
      <c r="AC206" s="134"/>
      <c r="AD206" s="133"/>
      <c r="AE206" s="133"/>
      <c r="AF206" s="156">
        <f>G206</f>
        <v>1</v>
      </c>
    </row>
    <row r="207" spans="1:32" ht="99.95" customHeight="1" thickBot="1" x14ac:dyDescent="0.25">
      <c r="A207" s="96">
        <v>201</v>
      </c>
      <c r="B207" s="97">
        <v>70</v>
      </c>
      <c r="C207" s="329" t="s">
        <v>587</v>
      </c>
      <c r="D207" s="329" t="s">
        <v>591</v>
      </c>
      <c r="E207" s="97">
        <v>5</v>
      </c>
      <c r="F207" s="330" t="s">
        <v>575</v>
      </c>
      <c r="G207" s="331">
        <f>VLOOKUP(A207,'2.2.Evaluación MGGTI'!$A$6:$F$207,6,0)</f>
        <v>1</v>
      </c>
      <c r="H207" s="107"/>
      <c r="I207" s="107"/>
      <c r="J207" s="107"/>
      <c r="K207" s="107"/>
      <c r="L207" s="108"/>
      <c r="M207" s="132"/>
      <c r="N207" s="133"/>
      <c r="O207" s="133"/>
      <c r="P207" s="133"/>
      <c r="Q207" s="134"/>
      <c r="R207" s="132"/>
      <c r="S207" s="133"/>
      <c r="T207" s="133"/>
      <c r="U207" s="134"/>
      <c r="V207" s="132"/>
      <c r="W207" s="133"/>
      <c r="X207" s="133"/>
      <c r="Y207" s="134"/>
      <c r="Z207" s="132"/>
      <c r="AA207" s="133"/>
      <c r="AB207" s="133"/>
      <c r="AC207" s="134"/>
      <c r="AD207" s="133"/>
      <c r="AE207" s="133"/>
      <c r="AF207" s="156">
        <f>G207</f>
        <v>1</v>
      </c>
    </row>
  </sheetData>
  <sheetProtection algorithmName="SHA-512" hashValue="trfpvYG0I7CoXQF61Ij64wZBeQD2I6u3tUlRnw1+3GUuS0arTBrlvzklDFCBsZ9ELeyC9tNXXW2YymniHXGm/A==" saltValue="CWo0Q5iRjEQreuKghQVThQ==" spinCount="100000" autoFilter="0" pivotTables="0"/>
  <autoFilter ref="A5:AF207" xr:uid="{2D6FAA2A-3AF9-8B4F-B932-C132471171A6}"/>
  <mergeCells count="8">
    <mergeCell ref="Z4:AC4"/>
    <mergeCell ref="AD4:AF4"/>
    <mergeCell ref="D2:Y2"/>
    <mergeCell ref="E4:G4"/>
    <mergeCell ref="H4:L4"/>
    <mergeCell ref="M4:Q4"/>
    <mergeCell ref="V4:Y4"/>
    <mergeCell ref="R4:U4"/>
  </mergeCells>
  <hyperlinks>
    <hyperlink ref="A1" location="Inicio!A1" display="Inicio" xr:uid="{9A42B673-BB53-2D4E-977B-97E0E3D8EB4F}"/>
  </hyperlinks>
  <pageMargins left="0.7" right="0.7" top="0.75" bottom="0.75" header="0.3" footer="0.3"/>
  <pageSetup orientation="portrait" horizontalDpi="0" verticalDpi="0"/>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4584B-7343-CA4B-A708-E3C7586F2D61}">
  <sheetPr codeName="Hoja9"/>
  <dimension ref="A1:H206"/>
  <sheetViews>
    <sheetView showGridLines="0" zoomScale="85" zoomScaleNormal="85" workbookViewId="0">
      <pane xSplit="6" ySplit="5" topLeftCell="G6" activePane="bottomRight" state="frozen"/>
      <selection pane="topRight" activeCell="F1" sqref="F1"/>
      <selection pane="bottomLeft" activeCell="A6" sqref="A6"/>
      <selection pane="bottomRight"/>
    </sheetView>
  </sheetViews>
  <sheetFormatPr baseColWidth="10" defaultColWidth="10.875" defaultRowHeight="12.75" x14ac:dyDescent="0.2"/>
  <cols>
    <col min="1" max="1" width="10.875" style="162"/>
    <col min="2" max="2" width="19.375" style="162" customWidth="1"/>
    <col min="3" max="3" width="10" style="307" customWidth="1"/>
    <col min="4" max="4" width="58" style="266" customWidth="1"/>
    <col min="5" max="5" width="20.5" style="162" customWidth="1"/>
    <col min="6" max="6" width="10.5" style="162" customWidth="1"/>
    <col min="7" max="7" width="49.5" style="162" customWidth="1"/>
    <col min="8" max="8" width="58.375" style="162" customWidth="1"/>
    <col min="9" max="16384" width="10.875" style="162"/>
  </cols>
  <sheetData>
    <row r="1" spans="1:8" ht="15" x14ac:dyDescent="0.25">
      <c r="A1" s="273" t="s">
        <v>52</v>
      </c>
    </row>
    <row r="2" spans="1:8" ht="57" customHeight="1" x14ac:dyDescent="0.2">
      <c r="A2" s="392" t="s">
        <v>592</v>
      </c>
      <c r="B2" s="393"/>
      <c r="C2" s="393"/>
      <c r="D2" s="393"/>
      <c r="E2" s="393"/>
      <c r="F2" s="393"/>
      <c r="G2" s="393"/>
      <c r="H2" s="393"/>
    </row>
    <row r="3" spans="1:8" ht="13.5" thickBot="1" x14ac:dyDescent="0.25"/>
    <row r="4" spans="1:8" ht="27.95" customHeight="1" thickBot="1" x14ac:dyDescent="0.25">
      <c r="G4" s="394" t="s">
        <v>289</v>
      </c>
      <c r="H4" s="395"/>
    </row>
    <row r="5" spans="1:8" ht="48.95" customHeight="1" thickBot="1" x14ac:dyDescent="0.25">
      <c r="A5" s="275" t="s">
        <v>593</v>
      </c>
      <c r="B5" s="275" t="s">
        <v>314</v>
      </c>
      <c r="C5" s="278" t="s">
        <v>594</v>
      </c>
      <c r="D5" s="278" t="s">
        <v>315</v>
      </c>
      <c r="E5" s="278" t="s">
        <v>595</v>
      </c>
      <c r="F5" s="278" t="s">
        <v>192</v>
      </c>
      <c r="G5" s="278" t="s">
        <v>290</v>
      </c>
      <c r="H5" s="278" t="s">
        <v>291</v>
      </c>
    </row>
    <row r="6" spans="1:8" ht="60" customHeight="1" x14ac:dyDescent="0.2">
      <c r="A6" s="308">
        <v>1</v>
      </c>
      <c r="B6" s="309" t="str">
        <f>VLOOKUP(A6,'2.1.Atributos MGGTI'!$A$6:$F$207,3,0)</f>
        <v>Alineación y entendimiento estratégico</v>
      </c>
      <c r="C6" s="310">
        <f>VLOOKUP(A6,'2.1.Atributos MGGTI'!$A$6:$F$207,5,0)</f>
        <v>2</v>
      </c>
      <c r="D6" s="309" t="str">
        <f>VLOOKUP(A6,'2.1.Atributos MGGTI'!$A$6:$D$207,4,0)</f>
        <v xml:space="preserve">La estrategia de TI direcciona la gestión de TI en la entidad para dar soporte a la operación de los servicios de TI </v>
      </c>
      <c r="E6" s="309" t="str">
        <f>VLOOKUP(A6,'2.1.Atributos MGGTI'!$A$6:$F$207,6,0)</f>
        <v>Estrategia de TI</v>
      </c>
      <c r="F6" s="196">
        <v>1</v>
      </c>
      <c r="G6" s="197"/>
      <c r="H6" s="198"/>
    </row>
    <row r="7" spans="1:8" ht="60" customHeight="1" x14ac:dyDescent="0.2">
      <c r="A7" s="308">
        <v>2</v>
      </c>
      <c r="B7" s="309" t="str">
        <f>VLOOKUP(A7,'2.1.Atributos MGGTI'!$A$6:$F$207,3,0)</f>
        <v>Alineación y entendimiento estratégico</v>
      </c>
      <c r="C7" s="310">
        <f>VLOOKUP(A7,'2.1.Atributos MGGTI'!$A$6:$F$207,5,0)</f>
        <v>3</v>
      </c>
      <c r="D7" s="309" t="str">
        <f>VLOOKUP(A7,'2.1.Atributos MGGTI'!$A$6:$D$207,4,0)</f>
        <v>La estrategia de TI direcciona la gestión de TI para habilitar servicios que están alineados y contribuyen a las necesidades del modelo de gestión de la entidad y al logro de los objetivos de la estrategia institucional</v>
      </c>
      <c r="E7" s="309" t="str">
        <f>VLOOKUP(A7,'2.1.Atributos MGGTI'!$A$6:$F$207,6,0)</f>
        <v>Estrategia de TI</v>
      </c>
      <c r="F7" s="196">
        <v>1</v>
      </c>
      <c r="G7" s="199"/>
      <c r="H7" s="200"/>
    </row>
    <row r="8" spans="1:8" ht="60" customHeight="1" x14ac:dyDescent="0.2">
      <c r="A8" s="308">
        <v>3</v>
      </c>
      <c r="B8" s="309" t="str">
        <f>VLOOKUP(A8,'2.1.Atributos MGGTI'!$A$6:$F$207,3,0)</f>
        <v>Alineación y entendimiento estratégico</v>
      </c>
      <c r="C8" s="310">
        <f>VLOOKUP(A8,'2.1.Atributos MGGTI'!$A$6:$F$207,5,0)</f>
        <v>4</v>
      </c>
      <c r="D8" s="309" t="str">
        <f>VLOOKUP(A8,'2.1.Atributos MGGTI'!$A$6:$D$207,4,0)</f>
        <v>La estrategia de TI direcciona la gestión de TI para contribuir con la generación de valor público y que su liderazgo sea reconocido por la entidad</v>
      </c>
      <c r="E8" s="309" t="str">
        <f>VLOOKUP(A8,'2.1.Atributos MGGTI'!$A$6:$F$207,6,0)</f>
        <v>Estrategia de TI</v>
      </c>
      <c r="F8" s="196">
        <v>1</v>
      </c>
      <c r="G8" s="199"/>
      <c r="H8" s="200"/>
    </row>
    <row r="9" spans="1:8" ht="60" customHeight="1" x14ac:dyDescent="0.2">
      <c r="A9" s="308">
        <v>4</v>
      </c>
      <c r="B9" s="309" t="str">
        <f>VLOOKUP(A9,'2.1.Atributos MGGTI'!$A$6:$F$207,3,0)</f>
        <v>Alineación y entendimiento estratégico</v>
      </c>
      <c r="C9" s="310">
        <f>VLOOKUP(A9,'2.1.Atributos MGGTI'!$A$6:$F$207,5,0)</f>
        <v>5</v>
      </c>
      <c r="D9" s="309" t="str">
        <f>VLOOKUP(A9,'2.1.Atributos MGGTI'!$A$6:$D$207,4,0)</f>
        <v>La estrategia de TI direcciona la gestión de TI para aportar enfoques innovadores  en la generación capacidades para el fortalecimiento institucional y de valor público.</v>
      </c>
      <c r="E9" s="309" t="str">
        <f>VLOOKUP(A9,'2.1.Atributos MGGTI'!$A$6:$F$207,6,0)</f>
        <v>Estrategia de TI</v>
      </c>
      <c r="F9" s="196">
        <v>1</v>
      </c>
      <c r="G9" s="199"/>
      <c r="H9" s="200"/>
    </row>
    <row r="10" spans="1:8" ht="60" customHeight="1" x14ac:dyDescent="0.2">
      <c r="A10" s="308">
        <v>5</v>
      </c>
      <c r="B10" s="309" t="str">
        <f>VLOOKUP(A10,'2.1.Atributos MGGTI'!$A$6:$F$207,3,0)</f>
        <v>Documentación de la estrategia de TI</v>
      </c>
      <c r="C10" s="310">
        <f>VLOOKUP(A10,'2.1.Atributos MGGTI'!$A$6:$F$207,5,0)</f>
        <v>2</v>
      </c>
      <c r="D10" s="309" t="str">
        <f>VLOOKUP(A10,'2.1.Atributos MGGTI'!$A$6:$D$207,4,0)</f>
        <v>El Estrategia de TI existe y se encuentra documentada en el Plan Estratégico de Tecnologías de la Información (PETI).</v>
      </c>
      <c r="E10" s="309" t="str">
        <f>VLOOKUP(A10,'2.1.Atributos MGGTI'!$A$6:$F$207,6,0)</f>
        <v>Estrategia de TI</v>
      </c>
      <c r="F10" s="196">
        <v>1</v>
      </c>
      <c r="G10" s="199"/>
      <c r="H10" s="200"/>
    </row>
    <row r="11" spans="1:8" ht="60" customHeight="1" x14ac:dyDescent="0.2">
      <c r="A11" s="308">
        <v>6</v>
      </c>
      <c r="B11" s="309" t="str">
        <f>VLOOKUP(A11,'2.1.Atributos MGGTI'!$A$6:$F$207,3,0)</f>
        <v>Documentación de la estrategia de TI</v>
      </c>
      <c r="C11" s="310">
        <f>VLOOKUP(A11,'2.1.Atributos MGGTI'!$A$6:$F$207,5,0)</f>
        <v>3</v>
      </c>
      <c r="D11" s="309" t="str">
        <f>VLOOKUP(A11,'2.1.Atributos MGGTI'!$A$6:$D$207,4,0)</f>
        <v>Existe un procedimiento o mecanismo para mantener actualizado El Plan Estratégico de Tecnologías de la Información (PETI)  ante los cambios de la estrategia, planeación y modelo institucional</v>
      </c>
      <c r="E11" s="309" t="str">
        <f>VLOOKUP(A11,'2.1.Atributos MGGTI'!$A$6:$F$207,6,0)</f>
        <v>Estrategia de TI</v>
      </c>
      <c r="F11" s="196">
        <v>1</v>
      </c>
      <c r="G11" s="199"/>
      <c r="H11" s="200"/>
    </row>
    <row r="12" spans="1:8" ht="60" customHeight="1" x14ac:dyDescent="0.2">
      <c r="A12" s="308">
        <v>7</v>
      </c>
      <c r="B12" s="309" t="str">
        <f>VLOOKUP(A12,'2.1.Atributos MGGTI'!$A$6:$F$207,3,0)</f>
        <v>Catálogo de servicios de TI</v>
      </c>
      <c r="C12" s="310">
        <f>VLOOKUP(A12,'2.1.Atributos MGGTI'!$A$6:$F$207,5,0)</f>
        <v>3</v>
      </c>
      <c r="D12" s="309" t="str">
        <f>VLOOKUP(A12,'2.1.Atributos MGGTI'!$A$6:$D$207,4,0)</f>
        <v>Existe un catálogo de servicios de TI con definición de ANS (Acuerdos de Niveles de Servicio) que se actualiza periodícamente y se comunica a las partes interesadas internas y externas a la entidad</v>
      </c>
      <c r="E12" s="309" t="str">
        <f>VLOOKUP(A12,'2.1.Atributos MGGTI'!$A$6:$F$207,6,0)</f>
        <v>Estrategia de TI</v>
      </c>
      <c r="F12" s="196">
        <v>1</v>
      </c>
      <c r="G12" s="199"/>
      <c r="H12" s="200"/>
    </row>
    <row r="13" spans="1:8" ht="60" customHeight="1" x14ac:dyDescent="0.2">
      <c r="A13" s="308">
        <v>8</v>
      </c>
      <c r="B13" s="309" t="str">
        <f>VLOOKUP(A13,'2.1.Atributos MGGTI'!$A$6:$F$207,3,0)</f>
        <v>Portafolio de proyectos de TI y hoja de ruta</v>
      </c>
      <c r="C13" s="310">
        <f>VLOOKUP(A13,'2.1.Atributos MGGTI'!$A$6:$F$207,5,0)</f>
        <v>2</v>
      </c>
      <c r="D13" s="309" t="str">
        <f>VLOOKUP(A13,'2.1.Atributos MGGTI'!$A$6:$D$207,4,0)</f>
        <v>Los proyectos de TI se formulan con un  plan de acción</v>
      </c>
      <c r="E13" s="309" t="str">
        <f>VLOOKUP(A13,'2.1.Atributos MGGTI'!$A$6:$F$207,6,0)</f>
        <v>Estrategia de TI</v>
      </c>
      <c r="F13" s="196">
        <v>1</v>
      </c>
      <c r="G13" s="305" t="s">
        <v>596</v>
      </c>
      <c r="H13" s="200" t="s">
        <v>597</v>
      </c>
    </row>
    <row r="14" spans="1:8" ht="60" customHeight="1" x14ac:dyDescent="0.2">
      <c r="A14" s="308">
        <v>9</v>
      </c>
      <c r="B14" s="309" t="str">
        <f>VLOOKUP(A14,'2.1.Atributos MGGTI'!$A$6:$F$207,3,0)</f>
        <v>Portafolio de proyectos de TI y hoja de ruta</v>
      </c>
      <c r="C14" s="310">
        <f>VLOOKUP(A14,'2.1.Atributos MGGTI'!$A$6:$F$207,5,0)</f>
        <v>3</v>
      </c>
      <c r="D14" s="309" t="str">
        <f>VLOOKUP(A14,'2.1.Atributos MGGTI'!$A$6:$D$207,4,0)</f>
        <v>El Plan Estratégico de TI incluye la definición del portafolio de proyectos estratégicos de TI y la hoja de ruta para implementar la estrategia definida.</v>
      </c>
      <c r="E14" s="309" t="str">
        <f>VLOOKUP(A14,'2.1.Atributos MGGTI'!$A$6:$F$207,6,0)</f>
        <v>Estrategia de TI</v>
      </c>
      <c r="F14" s="196">
        <v>1</v>
      </c>
      <c r="G14" s="305" t="s">
        <v>598</v>
      </c>
      <c r="H14" s="306" t="s">
        <v>599</v>
      </c>
    </row>
    <row r="15" spans="1:8" ht="60" customHeight="1" x14ac:dyDescent="0.2">
      <c r="A15" s="308">
        <v>10</v>
      </c>
      <c r="B15" s="309" t="str">
        <f>VLOOKUP(A15,'2.1.Atributos MGGTI'!$A$6:$F$207,3,0)</f>
        <v>Portafolio de proyectos de TI y hoja de ruta</v>
      </c>
      <c r="C15" s="310">
        <f>VLOOKUP(A15,'2.1.Atributos MGGTI'!$A$6:$F$207,5,0)</f>
        <v>4</v>
      </c>
      <c r="D15" s="309" t="str">
        <f>VLOOKUP(A15,'2.1.Atributos MGGTI'!$A$6:$D$207,4,0)</f>
        <v xml:space="preserve">El portafolio de proyectos estratégicos de TI se actualiza permanentemente ante las nuevas necesidades de la estrategia institucional </v>
      </c>
      <c r="E15" s="309" t="str">
        <f>VLOOKUP(A15,'2.1.Atributos MGGTI'!$A$6:$F$207,6,0)</f>
        <v>Estrategia de TI</v>
      </c>
      <c r="F15" s="196">
        <v>1</v>
      </c>
      <c r="G15" s="305" t="s">
        <v>600</v>
      </c>
      <c r="H15" s="200" t="s">
        <v>601</v>
      </c>
    </row>
    <row r="16" spans="1:8" ht="60" customHeight="1" x14ac:dyDescent="0.2">
      <c r="A16" s="308">
        <v>11</v>
      </c>
      <c r="B16" s="309" t="str">
        <f>VLOOKUP(A16,'2.1.Atributos MGGTI'!$A$6:$F$207,3,0)</f>
        <v>Portafolio de proyectos de TI y hoja de ruta</v>
      </c>
      <c r="C16" s="310">
        <f>VLOOKUP(A16,'2.1.Atributos MGGTI'!$A$6:$F$207,5,0)</f>
        <v>5</v>
      </c>
      <c r="D16" s="309" t="str">
        <f>VLOOKUP(A16,'2.1.Atributos MGGTI'!$A$6:$D$207,4,0)</f>
        <v>El portafolio de proyectos estratégicos de TI articula todas la iniciativas con componente de TI en la entidad (Arquitectura Empresarial, Plan de Tranformación Digital y proyectos institucionales)</v>
      </c>
      <c r="E16" s="309" t="str">
        <f>VLOOKUP(A16,'2.1.Atributos MGGTI'!$A$6:$F$207,6,0)</f>
        <v>Estrategia de TI</v>
      </c>
      <c r="F16" s="196">
        <v>1</v>
      </c>
      <c r="G16" s="305" t="s">
        <v>602</v>
      </c>
      <c r="H16" s="200" t="s">
        <v>603</v>
      </c>
    </row>
    <row r="17" spans="1:8" ht="60" customHeight="1" x14ac:dyDescent="0.2">
      <c r="A17" s="308">
        <v>12</v>
      </c>
      <c r="B17" s="309" t="str">
        <f>VLOOKUP(A17,'2.1.Atributos MGGTI'!$A$6:$F$207,3,0)</f>
        <v>Políticas y lineamientos</v>
      </c>
      <c r="C17" s="310">
        <f>VLOOKUP(A17,'2.1.Atributos MGGTI'!$A$6:$F$207,5,0)</f>
        <v>2</v>
      </c>
      <c r="D17" s="309" t="str">
        <f>VLOOKUP(A17,'2.1.Atributos MGGTI'!$A$6:$D$207,4,0)</f>
        <v>Hay una definición básica de las políticas o lineamientos de TI sobre la infraestructura tecnológica y el acceso y uso de los recursos tecnológicos.</v>
      </c>
      <c r="E17" s="309" t="str">
        <f>VLOOKUP(A17,'2.1.Atributos MGGTI'!$A$6:$F$207,6,0)</f>
        <v>Estrategia de TI</v>
      </c>
      <c r="F17" s="196">
        <v>1</v>
      </c>
      <c r="G17" s="199"/>
      <c r="H17" s="200"/>
    </row>
    <row r="18" spans="1:8" ht="60" customHeight="1" x14ac:dyDescent="0.2">
      <c r="A18" s="308">
        <v>13</v>
      </c>
      <c r="B18" s="309" t="str">
        <f>VLOOKUP(A18,'2.1.Atributos MGGTI'!$A$6:$F$207,3,0)</f>
        <v>Políticas y lineamientos</v>
      </c>
      <c r="C18" s="310">
        <f>VLOOKUP(A18,'2.1.Atributos MGGTI'!$A$6:$F$207,5,0)</f>
        <v>3</v>
      </c>
      <c r="D18" s="309" t="str">
        <f>VLOOKUP(A18,'2.1.Atributos MGGTI'!$A$6:$D$207,4,0)</f>
        <v xml:space="preserve">Existen políticas de TI sobre todos los servicios digitales y capacidades de TI, están articuladas con las políticas de la entidad, y son aprobadas por la alta dirección. </v>
      </c>
      <c r="E18" s="309" t="str">
        <f>VLOOKUP(A18,'2.1.Atributos MGGTI'!$A$6:$F$207,6,0)</f>
        <v>Estrategia de TI</v>
      </c>
      <c r="F18" s="196">
        <v>1</v>
      </c>
      <c r="G18" s="199"/>
      <c r="H18" s="200"/>
    </row>
    <row r="19" spans="1:8" ht="60" customHeight="1" x14ac:dyDescent="0.2">
      <c r="A19" s="308">
        <v>14</v>
      </c>
      <c r="B19" s="309" t="str">
        <f>VLOOKUP(A19,'2.1.Atributos MGGTI'!$A$6:$F$207,3,0)</f>
        <v>Políticas y lineamientos</v>
      </c>
      <c r="C19" s="310">
        <f>VLOOKUP(A19,'2.1.Atributos MGGTI'!$A$6:$F$207,5,0)</f>
        <v>4</v>
      </c>
      <c r="D19" s="309" t="str">
        <f>VLOOKUP(A19,'2.1.Atributos MGGTI'!$A$6:$D$207,4,0)</f>
        <v xml:space="preserve">Existe un mecanismo o proceso sistemático para  hacer actualización, seguimiento, control y evaluación a la implementación de políticas de TI. </v>
      </c>
      <c r="E19" s="309" t="str">
        <f>VLOOKUP(A19,'2.1.Atributos MGGTI'!$A$6:$F$207,6,0)</f>
        <v>Estrategia de TI</v>
      </c>
      <c r="F19" s="196">
        <v>1</v>
      </c>
      <c r="G19" s="199"/>
      <c r="H19" s="200"/>
    </row>
    <row r="20" spans="1:8" ht="60" customHeight="1" x14ac:dyDescent="0.2">
      <c r="A20" s="308">
        <v>15</v>
      </c>
      <c r="B20" s="309" t="str">
        <f>VLOOKUP(A20,'2.1.Atributos MGGTI'!$A$6:$F$207,3,0)</f>
        <v>Políticas y lineamientos</v>
      </c>
      <c r="C20" s="310">
        <f>VLOOKUP(A20,'2.1.Atributos MGGTI'!$A$6:$F$207,5,0)</f>
        <v>5</v>
      </c>
      <c r="D20" s="309" t="str">
        <f>VLOOKUP(A20,'2.1.Atributos MGGTI'!$A$6:$D$207,4,0)</f>
        <v>Se hace mejoramiento continuo sobre las políticas y lineamientos de TI, y sus actualizaciones son divulgadas en la entidad.</v>
      </c>
      <c r="E20" s="309" t="str">
        <f>VLOOKUP(A20,'2.1.Atributos MGGTI'!$A$6:$F$207,6,0)</f>
        <v>Estrategia de TI</v>
      </c>
      <c r="F20" s="196">
        <v>1</v>
      </c>
      <c r="G20" s="199"/>
      <c r="H20" s="200"/>
    </row>
    <row r="21" spans="1:8" ht="60" customHeight="1" x14ac:dyDescent="0.2">
      <c r="A21" s="308">
        <v>16</v>
      </c>
      <c r="B21" s="309" t="str">
        <f>VLOOKUP(A21,'2.1.Atributos MGGTI'!$A$6:$F$207,3,0)</f>
        <v>Comunicación y divulgación</v>
      </c>
      <c r="C21" s="310">
        <f>VLOOKUP(A21,'2.1.Atributos MGGTI'!$A$6:$F$207,5,0)</f>
        <v>2</v>
      </c>
      <c r="D21" s="309" t="str">
        <f>VLOOKUP(A21,'2.1.Atributos MGGTI'!$A$6:$D$207,4,0)</f>
        <v>Existe una estrategia y plan de comunicaciones para dar a conocer la Estrategia, políticas, lineamientos y servicios de TI</v>
      </c>
      <c r="E21" s="309" t="str">
        <f>VLOOKUP(A21,'2.1.Atributos MGGTI'!$A$6:$F$207,6,0)</f>
        <v>Estrategia de TI</v>
      </c>
      <c r="F21" s="196">
        <v>1</v>
      </c>
      <c r="G21" s="199"/>
      <c r="H21" s="200"/>
    </row>
    <row r="22" spans="1:8" ht="60" customHeight="1" x14ac:dyDescent="0.2">
      <c r="A22" s="308">
        <v>17</v>
      </c>
      <c r="B22" s="309" t="str">
        <f>VLOOKUP(A22,'2.1.Atributos MGGTI'!$A$6:$F$207,3,0)</f>
        <v>Comunicación y divulgación</v>
      </c>
      <c r="C22" s="310">
        <f>VLOOKUP(A22,'2.1.Atributos MGGTI'!$A$6:$F$207,5,0)</f>
        <v>3</v>
      </c>
      <c r="D22" s="309" t="str">
        <f>VLOOKUP(A22,'2.1.Atributos MGGTI'!$A$6:$D$207,4,0)</f>
        <v>Implementa el plan de comunicaciones para divulgar la estrategia, políticas, lineamientos y servicios  de TI a las partes interesadas</v>
      </c>
      <c r="E22" s="309" t="str">
        <f>VLOOKUP(A22,'2.1.Atributos MGGTI'!$A$6:$F$207,6,0)</f>
        <v>Estrategia de TI</v>
      </c>
      <c r="F22" s="196">
        <v>1</v>
      </c>
      <c r="G22" s="199"/>
      <c r="H22" s="200"/>
    </row>
    <row r="23" spans="1:8" ht="60" customHeight="1" x14ac:dyDescent="0.2">
      <c r="A23" s="308">
        <v>18</v>
      </c>
      <c r="B23" s="309" t="str">
        <f>VLOOKUP(A23,'2.1.Atributos MGGTI'!$A$6:$F$207,3,0)</f>
        <v>Comunicación y divulgación</v>
      </c>
      <c r="C23" s="310">
        <f>VLOOKUP(A23,'2.1.Atributos MGGTI'!$A$6:$F$207,5,0)</f>
        <v>4</v>
      </c>
      <c r="D23" s="309" t="str">
        <f>VLOOKUP(A23,'2.1.Atributos MGGTI'!$A$6:$D$207,4,0)</f>
        <v>Existe un mecanismo para mantener y actualizar  el plan de comunicaciones de acuerdo con las actualizaciones y evolución de la estrategia, las políticas, lineamientos  y servicios de TI.</v>
      </c>
      <c r="E23" s="309" t="str">
        <f>VLOOKUP(A23,'2.1.Atributos MGGTI'!$A$6:$F$207,6,0)</f>
        <v>Estrategia de TI</v>
      </c>
      <c r="F23" s="196">
        <v>1</v>
      </c>
      <c r="G23" s="199"/>
      <c r="H23" s="200"/>
    </row>
    <row r="24" spans="1:8" ht="60" customHeight="1" x14ac:dyDescent="0.2">
      <c r="A24" s="308">
        <v>19</v>
      </c>
      <c r="B24" s="309" t="str">
        <f>VLOOKUP(A24,'2.1.Atributos MGGTI'!$A$6:$F$207,3,0)</f>
        <v>Comunicación y divulgación</v>
      </c>
      <c r="C24" s="310">
        <f>VLOOKUP(A24,'2.1.Atributos MGGTI'!$A$6:$F$207,5,0)</f>
        <v>5</v>
      </c>
      <c r="D24" s="309" t="str">
        <f>VLOOKUP(A24,'2.1.Atributos MGGTI'!$A$6:$D$207,4,0)</f>
        <v>Se hace mejora continua a la estrategia y plan de comunicaciones. Las comunicaciones contribuyen al logro de las metas de la gestión de TI</v>
      </c>
      <c r="E24" s="309" t="str">
        <f>VLOOKUP(A24,'2.1.Atributos MGGTI'!$A$6:$F$207,6,0)</f>
        <v>Estrategia de TI</v>
      </c>
      <c r="F24" s="196">
        <v>1</v>
      </c>
      <c r="G24" s="199"/>
      <c r="H24" s="200"/>
    </row>
    <row r="25" spans="1:8" ht="60" customHeight="1" x14ac:dyDescent="0.2">
      <c r="A25" s="308">
        <v>20</v>
      </c>
      <c r="B25" s="309" t="str">
        <f>VLOOKUP(A25,'2.1.Atributos MGGTI'!$A$6:$F$207,3,0)</f>
        <v xml:space="preserve">Indicadores de seguimiento </v>
      </c>
      <c r="C25" s="310">
        <f>VLOOKUP(A25,'2.1.Atributos MGGTI'!$A$6:$F$207,5,0)</f>
        <v>2</v>
      </c>
      <c r="D25" s="309" t="str">
        <f>VLOOKUP(A25,'2.1.Atributos MGGTI'!$A$6:$D$207,4,0)</f>
        <v>Los indicadores para el monitoreo y evaluación de la implementación de la estrategia de TI y de la gestión de TI se encuentran definidos</v>
      </c>
      <c r="E25" s="309" t="str">
        <f>VLOOKUP(A25,'2.1.Atributos MGGTI'!$A$6:$F$207,6,0)</f>
        <v>Estrategia de TI/Gobierno de TI</v>
      </c>
      <c r="F25" s="196">
        <v>1</v>
      </c>
      <c r="G25" s="199"/>
      <c r="H25" s="200"/>
    </row>
    <row r="26" spans="1:8" ht="60" customHeight="1" x14ac:dyDescent="0.2">
      <c r="A26" s="308">
        <v>21</v>
      </c>
      <c r="B26" s="309" t="str">
        <f>VLOOKUP(A26,'2.1.Atributos MGGTI'!$A$6:$F$207,3,0)</f>
        <v xml:space="preserve">Indicadores de seguimiento </v>
      </c>
      <c r="C26" s="310">
        <f>VLOOKUP(A26,'2.1.Atributos MGGTI'!$A$6:$F$207,5,0)</f>
        <v>3</v>
      </c>
      <c r="D26" s="309" t="str">
        <f>VLOOKUP(A26,'2.1.Atributos MGGTI'!$A$6:$D$207,4,0)</f>
        <v>Utiliza tableros de control y  realiza la medición  de los indicadores de monitoreo y evaluación de la implementación de la estrategia de TI y de la gestión de TI</v>
      </c>
      <c r="E26" s="309" t="str">
        <f>VLOOKUP(A26,'2.1.Atributos MGGTI'!$A$6:$F$207,6,0)</f>
        <v>Estrategia de TI/Gobierno de TI</v>
      </c>
      <c r="F26" s="196">
        <v>1</v>
      </c>
      <c r="G26" s="199"/>
      <c r="H26" s="200"/>
    </row>
    <row r="27" spans="1:8" ht="60" customHeight="1" x14ac:dyDescent="0.2">
      <c r="A27" s="308">
        <v>22</v>
      </c>
      <c r="B27" s="309" t="str">
        <f>VLOOKUP(A27,'2.1.Atributos MGGTI'!$A$6:$F$207,3,0)</f>
        <v xml:space="preserve">Indicadores de seguimiento </v>
      </c>
      <c r="C27" s="310">
        <f>VLOOKUP(A27,'2.1.Atributos MGGTI'!$A$6:$F$207,5,0)</f>
        <v>4</v>
      </c>
      <c r="D27" s="309" t="str">
        <f>VLOOKUP(A27,'2.1.Atributos MGGTI'!$A$6:$D$207,4,0)</f>
        <v>Se realiza el seguimiento y control  de los indicadores de monitoreo y evaluación de la implementación de la estrategia de TI y de la gestión de TI</v>
      </c>
      <c r="E27" s="309" t="str">
        <f>VLOOKUP(A27,'2.1.Atributos MGGTI'!$A$6:$F$207,6,0)</f>
        <v>Estrategia de TI/Gobierno de TI</v>
      </c>
      <c r="F27" s="196">
        <v>1</v>
      </c>
      <c r="G27" s="199"/>
      <c r="H27" s="200"/>
    </row>
    <row r="28" spans="1:8" ht="60" customHeight="1" x14ac:dyDescent="0.2">
      <c r="A28" s="308">
        <v>23</v>
      </c>
      <c r="B28" s="309" t="str">
        <f>VLOOKUP(A28,'2.1.Atributos MGGTI'!$A$6:$F$207,3,0)</f>
        <v xml:space="preserve">Indicadores de seguimiento </v>
      </c>
      <c r="C28" s="310">
        <f>VLOOKUP(A28,'2.1.Atributos MGGTI'!$A$6:$F$207,5,0)</f>
        <v>5</v>
      </c>
      <c r="D28" s="309" t="str">
        <f>VLOOKUP(A28,'2.1.Atributos MGGTI'!$A$6:$D$207,4,0)</f>
        <v>Formula, en caso de ser necesario, acciones de mejora a partir de la medición de indicadores de monitoreo y evaluación de implementación de la estrategia de TI y de la gestión de TI</v>
      </c>
      <c r="E28" s="309" t="str">
        <f>VLOOKUP(A28,'2.1.Atributos MGGTI'!$A$6:$F$207,6,0)</f>
        <v>Estrategia de TI/Gobierno de TI</v>
      </c>
      <c r="F28" s="196">
        <v>1</v>
      </c>
      <c r="G28" s="199"/>
      <c r="H28" s="200"/>
    </row>
    <row r="29" spans="1:8" ht="60" customHeight="1" x14ac:dyDescent="0.2">
      <c r="A29" s="308">
        <v>24</v>
      </c>
      <c r="B29" s="309" t="str">
        <f>VLOOKUP(A29,'2.1.Atributos MGGTI'!$A$6:$F$207,3,0)</f>
        <v>Planeación y seguimiento financiero</v>
      </c>
      <c r="C29" s="310">
        <f>VLOOKUP(A29,'2.1.Atributos MGGTI'!$A$6:$F$207,5,0)</f>
        <v>2</v>
      </c>
      <c r="D29" s="309" t="str">
        <f>VLOOKUP(A29,'2.1.Atributos MGGTI'!$A$6:$D$207,4,0)</f>
        <v>Las necesidades presupuestales para la implementación de la estrategia de TI y de la gestión de TI se encuentran planeadas, justificadas y asignadas/reservadas</v>
      </c>
      <c r="E29" s="309" t="str">
        <f>VLOOKUP(A29,'2.1.Atributos MGGTI'!$A$6:$F$207,6,0)</f>
        <v>Estrategia de TI</v>
      </c>
      <c r="F29" s="196">
        <v>1</v>
      </c>
      <c r="G29" s="199"/>
      <c r="H29" s="200"/>
    </row>
    <row r="30" spans="1:8" ht="60" customHeight="1" x14ac:dyDescent="0.2">
      <c r="A30" s="308">
        <v>25</v>
      </c>
      <c r="B30" s="309" t="str">
        <f>VLOOKUP(A30,'2.1.Atributos MGGTI'!$A$6:$F$207,3,0)</f>
        <v>Planeación y seguimiento financiero</v>
      </c>
      <c r="C30" s="310">
        <f>VLOOKUP(A30,'2.1.Atributos MGGTI'!$A$6:$F$207,5,0)</f>
        <v>2</v>
      </c>
      <c r="D30" s="309" t="str">
        <f>VLOOKUP(A30,'2.1.Atributos MGGTI'!$A$6:$D$207,4,0)</f>
        <v>Existen herramientas y metodologias definidas para la planeación y seguimiento presupuestal de las inversiones en TI</v>
      </c>
      <c r="E30" s="309" t="str">
        <f>VLOOKUP(A30,'2.1.Atributos MGGTI'!$A$6:$F$207,6,0)</f>
        <v>Estrategia de TI</v>
      </c>
      <c r="F30" s="196">
        <v>1</v>
      </c>
      <c r="G30" s="199"/>
      <c r="H30" s="200"/>
    </row>
    <row r="31" spans="1:8" ht="60" customHeight="1" x14ac:dyDescent="0.2">
      <c r="A31" s="308">
        <v>26</v>
      </c>
      <c r="B31" s="309" t="str">
        <f>VLOOKUP(A31,'2.1.Atributos MGGTI'!$A$6:$F$207,3,0)</f>
        <v>Planeación y seguimiento financiero</v>
      </c>
      <c r="C31" s="310">
        <f>VLOOKUP(A31,'2.1.Atributos MGGTI'!$A$6:$F$207,5,0)</f>
        <v>3</v>
      </c>
      <c r="D31" s="309" t="str">
        <f>VLOOKUP(A31,'2.1.Atributos MGGTI'!$A$6:$D$207,4,0)</f>
        <v>Realiza periódicamente seguimiento y control a la ejecución del presupuesto de TI y plan de adquisiciones asociados al portafolio de proyectos de TI y a la gestión de TI</v>
      </c>
      <c r="E31" s="309" t="str">
        <f>VLOOKUP(A31,'2.1.Atributos MGGTI'!$A$6:$F$207,6,0)</f>
        <v>Estrategia de TI</v>
      </c>
      <c r="F31" s="196">
        <v>1</v>
      </c>
      <c r="G31" s="199"/>
      <c r="H31" s="200"/>
    </row>
    <row r="32" spans="1:8" ht="60" customHeight="1" x14ac:dyDescent="0.2">
      <c r="A32" s="308">
        <v>27</v>
      </c>
      <c r="B32" s="309" t="str">
        <f>VLOOKUP(A32,'2.1.Atributos MGGTI'!$A$6:$F$207,3,0)</f>
        <v>Resultados de la estrategia</v>
      </c>
      <c r="C32" s="310">
        <f>VLOOKUP(A32,'2.1.Atributos MGGTI'!$A$6:$F$207,5,0)</f>
        <v>3</v>
      </c>
      <c r="D32" s="309" t="str">
        <f>VLOOKUP(A32,'2.1.Atributos MGGTI'!$A$6:$D$207,4,0)</f>
        <v>El avance en la implementación de la estrategia de TI es medido y reportado</v>
      </c>
      <c r="E32" s="309" t="str">
        <f>VLOOKUP(A32,'2.1.Atributos MGGTI'!$A$6:$F$207,6,0)</f>
        <v>Estrategia de TI</v>
      </c>
      <c r="F32" s="196">
        <v>1</v>
      </c>
      <c r="G32" s="199"/>
      <c r="H32" s="200"/>
    </row>
    <row r="33" spans="1:8" ht="60" customHeight="1" x14ac:dyDescent="0.2">
      <c r="A33" s="308">
        <v>28</v>
      </c>
      <c r="B33" s="309" t="str">
        <f>VLOOKUP(A33,'2.1.Atributos MGGTI'!$A$6:$F$207,3,0)</f>
        <v>Resultados de la estrategia</v>
      </c>
      <c r="C33" s="310">
        <f>VLOOKUP(A33,'2.1.Atributos MGGTI'!$A$6:$F$207,5,0)</f>
        <v>4</v>
      </c>
      <c r="D33" s="309" t="str">
        <f>VLOOKUP(A33,'2.1.Atributos MGGTI'!$A$6:$D$207,4,0)</f>
        <v>Los resultados y salidas de la implementación de la estrategia son medidos y reportados</v>
      </c>
      <c r="E33" s="309" t="str">
        <f>VLOOKUP(A33,'2.1.Atributos MGGTI'!$A$6:$F$207,6,0)</f>
        <v>Estrategia de TI</v>
      </c>
      <c r="F33" s="196">
        <v>1</v>
      </c>
      <c r="G33" s="199"/>
      <c r="H33" s="200"/>
    </row>
    <row r="34" spans="1:8" ht="60" customHeight="1" x14ac:dyDescent="0.2">
      <c r="A34" s="308">
        <v>29</v>
      </c>
      <c r="B34" s="309" t="str">
        <f>VLOOKUP(A34,'2.1.Atributos MGGTI'!$A$6:$F$207,3,0)</f>
        <v>Resultados de la estrategia</v>
      </c>
      <c r="C34" s="310">
        <f>VLOOKUP(A34,'2.1.Atributos MGGTI'!$A$6:$F$207,5,0)</f>
        <v>5</v>
      </c>
      <c r="D34" s="309" t="str">
        <f>VLOOKUP(A34,'2.1.Atributos MGGTI'!$A$6:$D$207,4,0)</f>
        <v>Evalua y reporta el retorno de la inversión de TI teniendo en cuenta los resultados y  transformaciones obtenidas</v>
      </c>
      <c r="E34" s="309" t="str">
        <f>VLOOKUP(A34,'2.1.Atributos MGGTI'!$A$6:$F$207,6,0)</f>
        <v>Estrategia de TI</v>
      </c>
      <c r="F34" s="196">
        <v>1</v>
      </c>
      <c r="G34" s="199"/>
      <c r="H34" s="200"/>
    </row>
    <row r="35" spans="1:8" ht="60" customHeight="1" x14ac:dyDescent="0.2">
      <c r="A35" s="308">
        <v>30</v>
      </c>
      <c r="B35" s="309" t="str">
        <f>VLOOKUP(A35,'2.1.Atributos MGGTI'!$A$6:$F$207,3,0)</f>
        <v>Articulación con la AE</v>
      </c>
      <c r="C35" s="310">
        <f>VLOOKUP(A35,'2.1.Atributos MGGTI'!$A$6:$F$207,5,0)</f>
        <v>3</v>
      </c>
      <c r="D35" s="309" t="str">
        <f>VLOOKUP(A35,'2.1.Atributos MGGTI'!$A$6:$D$207,4,0)</f>
        <v>La gestión de TI implementa y gestiona las soluciones de TI derivadas de la definición de la Arquitectura empresarial de la Entidad</v>
      </c>
      <c r="E35" s="309" t="str">
        <f>VLOOKUP(A35,'2.1.Atributos MGGTI'!$A$6:$F$207,6,0)</f>
        <v>Estrategia de TI</v>
      </c>
      <c r="F35" s="196">
        <v>1</v>
      </c>
      <c r="G35" s="199"/>
      <c r="H35" s="200"/>
    </row>
    <row r="36" spans="1:8" ht="60" customHeight="1" x14ac:dyDescent="0.2">
      <c r="A36" s="308">
        <v>31</v>
      </c>
      <c r="B36" s="309" t="str">
        <f>VLOOKUP(A36,'2.1.Atributos MGGTI'!$A$6:$F$207,3,0)</f>
        <v>Articulación con la AE</v>
      </c>
      <c r="C36" s="310">
        <f>VLOOKUP(A36,'2.1.Atributos MGGTI'!$A$6:$F$207,5,0)</f>
        <v>3</v>
      </c>
      <c r="D36" s="309" t="str">
        <f>VLOOKUP(A36,'2.1.Atributos MGGTI'!$A$6:$D$207,4,0)</f>
        <v>La gestión de TI participa en la definición de las iniciativas con componente de TI que hacen parte de la hoja de ruta de la Arquitectura empresarial de la Entidad</v>
      </c>
      <c r="E36" s="309" t="str">
        <f>VLOOKUP(A36,'2.1.Atributos MGGTI'!$A$6:$F$207,6,0)</f>
        <v>Estrategia de TI</v>
      </c>
      <c r="F36" s="196">
        <v>1</v>
      </c>
      <c r="G36" s="199"/>
      <c r="H36" s="200"/>
    </row>
    <row r="37" spans="1:8" ht="60" customHeight="1" x14ac:dyDescent="0.2">
      <c r="A37" s="308">
        <v>32</v>
      </c>
      <c r="B37" s="309" t="str">
        <f>VLOOKUP(A37,'2.1.Atributos MGGTI'!$A$6:$F$207,3,0)</f>
        <v>Articulación con la AE</v>
      </c>
      <c r="C37" s="310">
        <f>VLOOKUP(A37,'2.1.Atributos MGGTI'!$A$6:$F$207,5,0)</f>
        <v>4</v>
      </c>
      <c r="D37" s="309" t="str">
        <f>VLOOKUP(A37,'2.1.Atributos MGGTI'!$A$6:$D$207,4,0)</f>
        <v>El plan Estratégico de TI y su portafolio de proyectos se encuentra articulado con las iniciativas de TI incluidas en la hoja de ruta de la AE  de la entidad</v>
      </c>
      <c r="E37" s="309" t="str">
        <f>VLOOKUP(A37,'2.1.Atributos MGGTI'!$A$6:$F$207,6,0)</f>
        <v>Estrategia de TI</v>
      </c>
      <c r="F37" s="196">
        <v>1</v>
      </c>
      <c r="G37" s="199"/>
      <c r="H37" s="200"/>
    </row>
    <row r="38" spans="1:8" ht="60" customHeight="1" x14ac:dyDescent="0.2">
      <c r="A38" s="308">
        <v>33</v>
      </c>
      <c r="B38" s="309" t="str">
        <f>VLOOKUP(A38,'2.1.Atributos MGGTI'!$A$6:$F$207,3,0)</f>
        <v xml:space="preserve">Articulación con el Plan de Transformación Digital </v>
      </c>
      <c r="C38" s="310">
        <f>VLOOKUP(A38,'2.1.Atributos MGGTI'!$A$6:$F$207,5,0)</f>
        <v>3</v>
      </c>
      <c r="D38" s="309" t="str">
        <f>VLOOKUP(A38,'2.1.Atributos MGGTI'!$A$6:$D$207,4,0)</f>
        <v>La gestión de TI implementa y gestiona la soluciones de TI de las iniciativas derivadas de la definición del Plan de Transformación Digital de la Entidad</v>
      </c>
      <c r="E38" s="309" t="str">
        <f>VLOOKUP(A38,'2.1.Atributos MGGTI'!$A$6:$F$207,6,0)</f>
        <v>Estrategia de TI/Gobierno de TI</v>
      </c>
      <c r="F38" s="196">
        <v>1</v>
      </c>
      <c r="G38" s="199"/>
      <c r="H38" s="200"/>
    </row>
    <row r="39" spans="1:8" ht="60" customHeight="1" x14ac:dyDescent="0.2">
      <c r="A39" s="308">
        <v>34</v>
      </c>
      <c r="B39" s="309" t="str">
        <f>VLOOKUP(A39,'2.1.Atributos MGGTI'!$A$6:$F$207,3,0)</f>
        <v xml:space="preserve">Articulación con el Plan de Transformación Digital </v>
      </c>
      <c r="C39" s="310">
        <f>VLOOKUP(A39,'2.1.Atributos MGGTI'!$A$6:$F$207,5,0)</f>
        <v>3</v>
      </c>
      <c r="D39" s="309" t="str">
        <f>VLOOKUP(A39,'2.1.Atributos MGGTI'!$A$6:$D$207,4,0)</f>
        <v>La gestión de TI participa en la definición de las iniciativas con componente de TI derivados de la definición del Plan de Transformación Digital de la entidad</v>
      </c>
      <c r="E39" s="309" t="str">
        <f>VLOOKUP(A39,'2.1.Atributos MGGTI'!$A$6:$F$207,6,0)</f>
        <v>Estrategia de TI/Gobierno de TI</v>
      </c>
      <c r="F39" s="196">
        <v>1</v>
      </c>
      <c r="G39" s="199"/>
      <c r="H39" s="200"/>
    </row>
    <row r="40" spans="1:8" ht="60" customHeight="1" x14ac:dyDescent="0.2">
      <c r="A40" s="308">
        <v>35</v>
      </c>
      <c r="B40" s="309" t="str">
        <f>VLOOKUP(A40,'2.1.Atributos MGGTI'!$A$6:$F$207,3,0)</f>
        <v xml:space="preserve">Articulación con el Plan de Transformación Digital </v>
      </c>
      <c r="C40" s="310">
        <f>VLOOKUP(A40,'2.1.Atributos MGGTI'!$A$6:$F$207,5,0)</f>
        <v>4</v>
      </c>
      <c r="D40" s="309" t="str">
        <f>VLOOKUP(A40,'2.1.Atributos MGGTI'!$A$6:$D$207,4,0)</f>
        <v>El plan Estratégico de TI y su portafolio de proyectos se encuentra articulado con las iniciativas de TI incluidas en la hoja de ruta del plan de transformación digital de la entidad</v>
      </c>
      <c r="E40" s="309" t="str">
        <f>VLOOKUP(A40,'2.1.Atributos MGGTI'!$A$6:$F$207,6,0)</f>
        <v>Estrategia de TI</v>
      </c>
      <c r="F40" s="196">
        <v>1</v>
      </c>
      <c r="G40" s="199"/>
      <c r="H40" s="200"/>
    </row>
    <row r="41" spans="1:8" ht="60" customHeight="1" x14ac:dyDescent="0.2">
      <c r="A41" s="308">
        <v>36</v>
      </c>
      <c r="B41" s="309" t="str">
        <f>VLOOKUP(A41,'2.1.Atributos MGGTI'!$A$6:$F$207,3,0)</f>
        <v>Articulación con proyectos institucionales</v>
      </c>
      <c r="C41" s="310">
        <f>VLOOKUP(A41,'2.1.Atributos MGGTI'!$A$6:$F$207,5,0)</f>
        <v>3</v>
      </c>
      <c r="D41" s="309" t="str">
        <f>VLOOKUP(A41,'2.1.Atributos MGGTI'!$A$6:$D$207,4,0)</f>
        <v>La gestión de TI implementa y gestiona las soluciones de TI derivadas de los proyectos institucionales con componente de TI</v>
      </c>
      <c r="E41" s="309" t="str">
        <f>VLOOKUP(A41,'2.1.Atributos MGGTI'!$A$6:$F$207,6,0)</f>
        <v>Estrategia de TI/Gobierno de TI</v>
      </c>
      <c r="F41" s="196">
        <v>1</v>
      </c>
      <c r="G41" s="199"/>
      <c r="H41" s="200"/>
    </row>
    <row r="42" spans="1:8" ht="60" customHeight="1" x14ac:dyDescent="0.2">
      <c r="A42" s="308">
        <v>37</v>
      </c>
      <c r="B42" s="309" t="str">
        <f>VLOOKUP(A42,'2.1.Atributos MGGTI'!$A$6:$F$207,3,0)</f>
        <v>Articulación con proyectos institucionales</v>
      </c>
      <c r="C42" s="310">
        <f>VLOOKUP(A42,'2.1.Atributos MGGTI'!$A$6:$F$207,5,0)</f>
        <v>3</v>
      </c>
      <c r="D42" s="309" t="str">
        <f>VLOOKUP(A42,'2.1.Atributos MGGTI'!$A$6:$D$207,4,0)</f>
        <v xml:space="preserve">La gestión de TI participa en la definición de las iniciativas con componente de TI que hacen parte de los proyectos institucionales. </v>
      </c>
      <c r="E42" s="309" t="str">
        <f>VLOOKUP(A42,'2.1.Atributos MGGTI'!$A$6:$F$207,6,0)</f>
        <v>Estrategia de TI/Gobierno de TI</v>
      </c>
      <c r="F42" s="196">
        <v>1</v>
      </c>
      <c r="G42" s="199"/>
      <c r="H42" s="200"/>
    </row>
    <row r="43" spans="1:8" ht="60" customHeight="1" x14ac:dyDescent="0.2">
      <c r="A43" s="308">
        <v>38</v>
      </c>
      <c r="B43" s="309" t="str">
        <f>VLOOKUP(A43,'2.1.Atributos MGGTI'!$A$6:$F$207,3,0)</f>
        <v>Articulación con proyectos institucionales</v>
      </c>
      <c r="C43" s="310">
        <f>VLOOKUP(A43,'2.1.Atributos MGGTI'!$A$6:$F$207,5,0)</f>
        <v>4</v>
      </c>
      <c r="D43" s="309" t="str">
        <f>VLOOKUP(A43,'2.1.Atributos MGGTI'!$A$6:$D$207,4,0)</f>
        <v>El plan Estratégico de TI y su portafolio de proyectos se encuentra articulado con las iniciativas de TI incluidas en la hoja de ruta de la AE  de la entidad</v>
      </c>
      <c r="E43" s="309" t="str">
        <f>VLOOKUP(A43,'2.1.Atributos MGGTI'!$A$6:$F$207,6,0)</f>
        <v>Estrategia de TI</v>
      </c>
      <c r="F43" s="196">
        <v>1</v>
      </c>
      <c r="G43" s="199"/>
      <c r="H43" s="200"/>
    </row>
    <row r="44" spans="1:8" ht="60" customHeight="1" x14ac:dyDescent="0.2">
      <c r="A44" s="308">
        <v>39</v>
      </c>
      <c r="B44" s="309" t="str">
        <f>VLOOKUP(A44,'2.1.Atributos MGGTI'!$A$6:$F$207,3,0)</f>
        <v>Innovación</v>
      </c>
      <c r="C44" s="310">
        <f>VLOOKUP(A44,'2.1.Atributos MGGTI'!$A$6:$F$207,5,0)</f>
        <v>2</v>
      </c>
      <c r="D44" s="309" t="str">
        <f>VLOOKUP(A44,'2.1.Atributos MGGTI'!$A$6:$D$207,4,0)</f>
        <v xml:space="preserve">En la selección de tecnologías se identifican y evaluan oportunidades de incorporacion de innovaciones  tecnológicas. </v>
      </c>
      <c r="E44" s="309" t="str">
        <f>VLOOKUP(A44,'2.1.Atributos MGGTI'!$A$6:$F$207,6,0)</f>
        <v>Estrategia de TI</v>
      </c>
      <c r="F44" s="196">
        <v>1</v>
      </c>
      <c r="G44" s="265"/>
      <c r="H44" s="265"/>
    </row>
    <row r="45" spans="1:8" ht="60" customHeight="1" x14ac:dyDescent="0.2">
      <c r="A45" s="308">
        <v>40</v>
      </c>
      <c r="B45" s="309" t="str">
        <f>VLOOKUP(A45,'2.1.Atributos MGGTI'!$A$6:$F$207,3,0)</f>
        <v>Innovación</v>
      </c>
      <c r="C45" s="310">
        <f>VLOOKUP(A45,'2.1.Atributos MGGTI'!$A$6:$F$207,5,0)</f>
        <v>3</v>
      </c>
      <c r="D45" s="309" t="str">
        <f>VLOOKUP(A45,'2.1.Atributos MGGTI'!$A$6:$D$207,4,0)</f>
        <v>Existe un mecanismo  o procedimiento formal para identificar y evaluar oportunidades de incorporación de innovaciones tecnológicas desde la etapa de planeación de la Estrategia de TI</v>
      </c>
      <c r="E45" s="309" t="str">
        <f>VLOOKUP(A45,'2.1.Atributos MGGTI'!$A$6:$F$207,6,0)</f>
        <v>Estrategia de TI</v>
      </c>
      <c r="F45" s="196">
        <v>1</v>
      </c>
      <c r="G45" s="264"/>
      <c r="H45" s="264"/>
    </row>
    <row r="46" spans="1:8" ht="60" customHeight="1" x14ac:dyDescent="0.2">
      <c r="A46" s="308">
        <v>41</v>
      </c>
      <c r="B46" s="309" t="str">
        <f>VLOOKUP(A46,'2.1.Atributos MGGTI'!$A$6:$F$207,3,0)</f>
        <v>Innovación</v>
      </c>
      <c r="C46" s="310">
        <f>VLOOKUP(A46,'2.1.Atributos MGGTI'!$A$6:$F$207,5,0)</f>
        <v>4</v>
      </c>
      <c r="D46" s="309" t="str">
        <f>VLOOKUP(A46,'2.1.Atributos MGGTI'!$A$6:$D$207,4,0)</f>
        <v>Las capacidades tecnológicas se implementan a partir del desarrollo de iniciativas resultado de la identificación y evaluación sistemática de oportunidades de innovación.</v>
      </c>
      <c r="E46" s="309" t="str">
        <f>VLOOKUP(A46,'2.1.Atributos MGGTI'!$A$6:$F$207,6,0)</f>
        <v>Estrategia de TI</v>
      </c>
      <c r="F46" s="196">
        <v>1</v>
      </c>
      <c r="G46" s="264"/>
      <c r="H46" s="264"/>
    </row>
    <row r="47" spans="1:8" ht="60" customHeight="1" x14ac:dyDescent="0.2">
      <c r="A47" s="308">
        <v>42</v>
      </c>
      <c r="B47" s="309" t="str">
        <f>VLOOKUP(A47,'2.1.Atributos MGGTI'!$A$6:$F$207,3,0)</f>
        <v>Macroproceso de gestión de TI</v>
      </c>
      <c r="C47" s="310">
        <f>VLOOKUP(A47,'2.1.Atributos MGGTI'!$A$6:$F$207,5,0)</f>
        <v>2</v>
      </c>
      <c r="D47" s="309" t="str">
        <f>VLOOKUP(A47,'2.1.Atributos MGGTI'!$A$6:$D$207,4,0)</f>
        <v>El macroproceso de gestión de TI se encuentra definido, hace parte del Modelo Intregado de Planeación y Gestión de la Entidad.</v>
      </c>
      <c r="E47" s="309" t="str">
        <f>VLOOKUP(A47,'2.1.Atributos MGGTI'!$A$6:$F$207,6,0)</f>
        <v>Gobierno de TI</v>
      </c>
      <c r="F47" s="196">
        <v>1</v>
      </c>
      <c r="G47" s="264"/>
      <c r="H47" s="264"/>
    </row>
    <row r="48" spans="1:8" ht="60" customHeight="1" x14ac:dyDescent="0.2">
      <c r="A48" s="308">
        <v>43</v>
      </c>
      <c r="B48" s="309" t="str">
        <f>VLOOKUP(A48,'2.1.Atributos MGGTI'!$A$6:$F$207,3,0)</f>
        <v>Macroproceso de gestión de TI</v>
      </c>
      <c r="C48" s="310">
        <f>VLOOKUP(A48,'2.1.Atributos MGGTI'!$A$6:$F$207,5,0)</f>
        <v>3</v>
      </c>
      <c r="D48" s="309" t="str">
        <f>VLOOKUP(A48,'2.1.Atributos MGGTI'!$A$6:$D$207,4,0)</f>
        <v>El macroproceso para gestión de TI es implementado, esta alineado con el Modelo de Gestiión y Gobierno de TI del Marco de Referencia de Arquitectura empresarial del Estado.</v>
      </c>
      <c r="E48" s="309" t="str">
        <f>VLOOKUP(A48,'2.1.Atributos MGGTI'!$A$6:$F$207,6,0)</f>
        <v>Gobierno de TI</v>
      </c>
      <c r="F48" s="196">
        <v>1</v>
      </c>
      <c r="G48" s="264"/>
      <c r="H48" s="264"/>
    </row>
    <row r="49" spans="1:8" ht="60" customHeight="1" x14ac:dyDescent="0.2">
      <c r="A49" s="308">
        <v>44</v>
      </c>
      <c r="B49" s="309" t="str">
        <f>VLOOKUP(A49,'2.1.Atributos MGGTI'!$A$6:$F$207,3,0)</f>
        <v>Macroproceso de gestión de TI</v>
      </c>
      <c r="C49" s="310">
        <f>VLOOKUP(A49,'2.1.Atributos MGGTI'!$A$6:$F$207,5,0)</f>
        <v>4</v>
      </c>
      <c r="D49" s="309" t="str">
        <f>VLOOKUP(A49,'2.1.Atributos MGGTI'!$A$6:$D$207,4,0)</f>
        <v>Se realiza seguimiento y evaluación a la implementación del macroproceso para gestion deTI de acuerdo con los lineamientos de Modelo integrado de Gestión de la entidad</v>
      </c>
      <c r="E49" s="309" t="str">
        <f>VLOOKUP(A49,'2.1.Atributos MGGTI'!$A$6:$F$207,6,0)</f>
        <v>Gobierno de TI</v>
      </c>
      <c r="F49" s="196">
        <v>1</v>
      </c>
      <c r="G49" s="264"/>
      <c r="H49" s="264"/>
    </row>
    <row r="50" spans="1:8" ht="60" customHeight="1" x14ac:dyDescent="0.2">
      <c r="A50" s="308">
        <v>45</v>
      </c>
      <c r="B50" s="309" t="str">
        <f>VLOOKUP(A50,'2.1.Atributos MGGTI'!$A$6:$F$207,3,0)</f>
        <v>Macroproceso de gestión de TI</v>
      </c>
      <c r="C50" s="310">
        <f>VLOOKUP(A50,'2.1.Atributos MGGTI'!$A$6:$F$207,5,0)</f>
        <v>5</v>
      </c>
      <c r="D50" s="309" t="str">
        <f>VLOOKUP(A50,'2.1.Atributos MGGTI'!$A$6:$D$207,4,0)</f>
        <v xml:space="preserve">Se hace mejora continua del macroproceso para la gestión de TI y aplica mejores prácticas de la industria. </v>
      </c>
      <c r="E50" s="309" t="str">
        <f>VLOOKUP(A50,'2.1.Atributos MGGTI'!$A$6:$F$207,6,0)</f>
        <v>Gobierno de TI</v>
      </c>
      <c r="F50" s="196">
        <v>1</v>
      </c>
      <c r="G50" s="264"/>
      <c r="H50" s="264"/>
    </row>
    <row r="51" spans="1:8" ht="60" customHeight="1" x14ac:dyDescent="0.2">
      <c r="A51" s="308">
        <v>46</v>
      </c>
      <c r="B51" s="309" t="str">
        <f>VLOOKUP(A51,'2.1.Atributos MGGTI'!$A$6:$F$207,3,0)</f>
        <v>No conformidades de las auditorias</v>
      </c>
      <c r="C51" s="310">
        <f>VLOOKUP(A51,'2.1.Atributos MGGTI'!$A$6:$F$207,5,0)</f>
        <v>2</v>
      </c>
      <c r="D51" s="309" t="str">
        <f>VLOOKUP(A51,'2.1.Atributos MGGTI'!$A$6:$D$207,4,0)</f>
        <v>Desde la gestión de TI se definen e implementan  acciones de mejoramiento sobre el macroproceso para gestión de TI según los lineamientos del modelo integrado de gestión</v>
      </c>
      <c r="E51" s="309" t="str">
        <f>VLOOKUP(A51,'2.1.Atributos MGGTI'!$A$6:$F$207,6,0)</f>
        <v>Gobierno de TI</v>
      </c>
      <c r="F51" s="196">
        <v>1</v>
      </c>
      <c r="G51" s="264"/>
      <c r="H51" s="264"/>
    </row>
    <row r="52" spans="1:8" ht="60" customHeight="1" x14ac:dyDescent="0.2">
      <c r="A52" s="308">
        <v>47</v>
      </c>
      <c r="B52" s="309" t="str">
        <f>VLOOKUP(A52,'2.1.Atributos MGGTI'!$A$6:$F$207,3,0)</f>
        <v>No conformidades de las auditorias</v>
      </c>
      <c r="C52" s="310">
        <f>VLOOKUP(A52,'2.1.Atributos MGGTI'!$A$6:$F$207,5,0)</f>
        <v>3</v>
      </c>
      <c r="D52" s="309" t="str">
        <f>VLOOKUP(A52,'2.1.Atributos MGGTI'!$A$6:$D$207,4,0)</f>
        <v>Desde la gestión de TI se definen e incorpora dentro del  plan de acción de TI, acciones que permitan corregir, mejorar y controlar el macroproceso para gestión de TI y que se encuentren dentro de la lista de no conformidades generada en el marco de las auditorias de control interno y externo.</v>
      </c>
      <c r="E52" s="309" t="str">
        <f>VLOOKUP(A52,'2.1.Atributos MGGTI'!$A$6:$F$207,6,0)</f>
        <v>Gobierno de TI</v>
      </c>
      <c r="F52" s="196">
        <v>1</v>
      </c>
      <c r="G52" s="264"/>
      <c r="H52" s="264"/>
    </row>
    <row r="53" spans="1:8" ht="60" customHeight="1" x14ac:dyDescent="0.2">
      <c r="A53" s="308">
        <v>48</v>
      </c>
      <c r="B53" s="309" t="str">
        <f>VLOOKUP(A53,'2.1.Atributos MGGTI'!$A$6:$F$207,3,0)</f>
        <v>No conformidades de las auditorias</v>
      </c>
      <c r="C53" s="310">
        <f>VLOOKUP(A53,'2.1.Atributos MGGTI'!$A$6:$F$207,5,0)</f>
        <v>4</v>
      </c>
      <c r="D53" s="309" t="str">
        <f>VLOOKUP(A53,'2.1.Atributos MGGTI'!$A$6:$D$207,4,0)</f>
        <v>Desde la gestión de TI se definen e incorporan dentro del  plan estratégico de TI, acciones que permitan corregir, mejorar y controlar el macroproces para gestión de TI que se encuentren dentro de la lista de no conformidades generada en el marco de las auditorias de control interno y externo.</v>
      </c>
      <c r="E53" s="309" t="str">
        <f>VLOOKUP(A53,'2.1.Atributos MGGTI'!$A$6:$F$207,6,0)</f>
        <v>Gobierno de TI</v>
      </c>
      <c r="F53" s="196">
        <v>1</v>
      </c>
      <c r="G53" s="264"/>
      <c r="H53" s="264"/>
    </row>
    <row r="54" spans="1:8" ht="60" customHeight="1" x14ac:dyDescent="0.2">
      <c r="A54" s="308">
        <v>49</v>
      </c>
      <c r="B54" s="309" t="str">
        <f>VLOOKUP(A54,'2.1.Atributos MGGTI'!$A$6:$F$207,3,0)</f>
        <v>Estructura de TI</v>
      </c>
      <c r="C54" s="310">
        <f>VLOOKUP(A54,'2.1.Atributos MGGTI'!$A$6:$F$207,5,0)</f>
        <v>2</v>
      </c>
      <c r="D54" s="309" t="str">
        <f>VLOOKUP(A54,'2.1.Atributos MGGTI'!$A$6:$D$207,4,0)</f>
        <v>Existen recursos humanos con roles y responsabilidades para la operar y dar soporte los servicios de TI</v>
      </c>
      <c r="E54" s="309" t="str">
        <f>VLOOKUP(A54,'2.1.Atributos MGGTI'!$A$6:$F$207,6,0)</f>
        <v>Gobierno de TI</v>
      </c>
      <c r="F54" s="196">
        <v>1</v>
      </c>
      <c r="G54" s="264"/>
      <c r="H54" s="264"/>
    </row>
    <row r="55" spans="1:8" ht="60" customHeight="1" x14ac:dyDescent="0.2">
      <c r="A55" s="308">
        <v>50</v>
      </c>
      <c r="B55" s="309" t="str">
        <f>VLOOKUP(A55,'2.1.Atributos MGGTI'!$A$6:$F$207,3,0)</f>
        <v>Estructura de TI</v>
      </c>
      <c r="C55" s="310">
        <f>VLOOKUP(A55,'2.1.Atributos MGGTI'!$A$6:$F$207,5,0)</f>
        <v>3</v>
      </c>
      <c r="D55" s="309" t="str">
        <f>VLOOKUP(A55,'2.1.Atributos MGGTI'!$A$6:$D$207,4,0)</f>
        <v xml:space="preserve">Existe una estructura organizacional de TI con capacidad para gestionar los procesos y servicios de la gestión de TI. </v>
      </c>
      <c r="E55" s="309" t="str">
        <f>VLOOKUP(A55,'2.1.Atributos MGGTI'!$A$6:$F$207,6,0)</f>
        <v>Gobierno de TI</v>
      </c>
      <c r="F55" s="196">
        <v>1</v>
      </c>
      <c r="G55" s="264"/>
      <c r="H55" s="264"/>
    </row>
    <row r="56" spans="1:8" ht="60" customHeight="1" x14ac:dyDescent="0.2">
      <c r="A56" s="308">
        <v>51</v>
      </c>
      <c r="B56" s="309" t="str">
        <f>VLOOKUP(A56,'2.1.Atributos MGGTI'!$A$6:$F$207,3,0)</f>
        <v>Estructura de TI</v>
      </c>
      <c r="C56" s="310">
        <f>VLOOKUP(A56,'2.1.Atributos MGGTI'!$A$6:$F$207,5,0)</f>
        <v>4</v>
      </c>
      <c r="D56" s="309" t="str">
        <f>VLOOKUP(A56,'2.1.Atributos MGGTI'!$A$6:$D$207,4,0)</f>
        <v xml:space="preserve">Existe una estructura organizacional de TI trabajando por unidades de negocio bajo un mismo esquema de gobierno de TI y con la capacidad para desarrollar la estrategia y gestionar los procesos y proyectos de TI. </v>
      </c>
      <c r="E56" s="309" t="str">
        <f>VLOOKUP(A56,'2.1.Atributos MGGTI'!$A$6:$F$207,6,0)</f>
        <v>Gobierno de TI</v>
      </c>
      <c r="F56" s="196">
        <v>1</v>
      </c>
      <c r="G56" s="264"/>
      <c r="H56" s="264"/>
    </row>
    <row r="57" spans="1:8" ht="60" customHeight="1" x14ac:dyDescent="0.2">
      <c r="A57" s="308">
        <v>52</v>
      </c>
      <c r="B57" s="309" t="str">
        <f>VLOOKUP(A57,'2.1.Atributos MGGTI'!$A$6:$F$207,3,0)</f>
        <v>Alineación de procesos</v>
      </c>
      <c r="C57" s="310">
        <f>VLOOKUP(A57,'2.1.Atributos MGGTI'!$A$6:$F$207,5,0)</f>
        <v>2</v>
      </c>
      <c r="D57" s="309" t="str">
        <f>VLOOKUP(A57,'2.1.Atributos MGGTI'!$A$6:$D$207,4,0)</f>
        <v>Las capacidades de TI habilitan procesos de apoyo administrativo de los procesos del modelo integrado de gestión de la entidad</v>
      </c>
      <c r="E57" s="309" t="str">
        <f>VLOOKUP(A57,'2.1.Atributos MGGTI'!$A$6:$F$207,6,0)</f>
        <v>Gobierno de TI</v>
      </c>
      <c r="F57" s="196">
        <v>1</v>
      </c>
      <c r="G57" s="264"/>
      <c r="H57" s="264"/>
    </row>
    <row r="58" spans="1:8" ht="60" customHeight="1" x14ac:dyDescent="0.2">
      <c r="A58" s="308">
        <v>53</v>
      </c>
      <c r="B58" s="309" t="str">
        <f>VLOOKUP(A58,'2.1.Atributos MGGTI'!$A$6:$F$207,3,0)</f>
        <v>Alineación de procesos</v>
      </c>
      <c r="C58" s="310">
        <f>VLOOKUP(A58,'2.1.Atributos MGGTI'!$A$6:$F$207,5,0)</f>
        <v>3</v>
      </c>
      <c r="D58" s="309" t="str">
        <f>VLOOKUP(A58,'2.1.Atributos MGGTI'!$A$6:$D$207,4,0)</f>
        <v>Las capacidades de TI habilitan procesos de Direccionamiento estratégico y misionales del modelo integrado de gestión de la entidad.</v>
      </c>
      <c r="E58" s="309" t="str">
        <f>VLOOKUP(A58,'2.1.Atributos MGGTI'!$A$6:$F$207,6,0)</f>
        <v>Gobierno de TI</v>
      </c>
      <c r="F58" s="196">
        <v>1</v>
      </c>
      <c r="G58" s="264"/>
      <c r="H58" s="264"/>
    </row>
    <row r="59" spans="1:8" ht="60" customHeight="1" x14ac:dyDescent="0.2">
      <c r="A59" s="308">
        <v>54</v>
      </c>
      <c r="B59" s="309" t="str">
        <f>VLOOKUP(A59,'2.1.Atributos MGGTI'!$A$6:$F$207,3,0)</f>
        <v>Alineación de procesos</v>
      </c>
      <c r="C59" s="310">
        <f>VLOOKUP(A59,'2.1.Atributos MGGTI'!$A$6:$F$207,5,0)</f>
        <v>4</v>
      </c>
      <c r="D59" s="309" t="str">
        <f>VLOOKUP(A59,'2.1.Atributos MGGTI'!$A$6:$D$207,4,0)</f>
        <v>Las capacidades de TI habilitan y contribuyen al mejoramiento de todos los procesos del modelo integrado de Planeación y  gestión de la entidad</v>
      </c>
      <c r="E59" s="309" t="str">
        <f>VLOOKUP(A59,'2.1.Atributos MGGTI'!$A$6:$F$207,6,0)</f>
        <v>Gobierno de TI</v>
      </c>
      <c r="F59" s="196">
        <v>1</v>
      </c>
      <c r="G59" s="264"/>
      <c r="H59" s="264"/>
    </row>
    <row r="60" spans="1:8" ht="60" customHeight="1" x14ac:dyDescent="0.2">
      <c r="A60" s="308">
        <v>55</v>
      </c>
      <c r="B60" s="309" t="str">
        <f>VLOOKUP(A60,'2.1.Atributos MGGTI'!$A$6:$F$207,3,0)</f>
        <v>Liderazgo</v>
      </c>
      <c r="C60" s="310">
        <f>VLOOKUP(A60,'2.1.Atributos MGGTI'!$A$6:$F$207,5,0)</f>
        <v>2</v>
      </c>
      <c r="D60" s="309" t="str">
        <f>VLOOKUP(A60,'2.1.Atributos MGGTI'!$A$6:$D$207,4,0)</f>
        <v>Desde la gestión de TI se realiza la habilitación, operación, soporte y mantenimiento de las capacidades y servicios de TI de la entidad.</v>
      </c>
      <c r="E60" s="309" t="str">
        <f>VLOOKUP(A60,'2.1.Atributos MGGTI'!$A$6:$F$207,6,0)</f>
        <v>Gobierno de TI</v>
      </c>
      <c r="F60" s="196">
        <v>1</v>
      </c>
      <c r="G60" s="264"/>
      <c r="H60" s="264"/>
    </row>
    <row r="61" spans="1:8" ht="60" customHeight="1" x14ac:dyDescent="0.2">
      <c r="A61" s="308">
        <v>56</v>
      </c>
      <c r="B61" s="309" t="str">
        <f>VLOOKUP(A61,'2.1.Atributos MGGTI'!$A$6:$F$207,3,0)</f>
        <v>Liderazgo</v>
      </c>
      <c r="C61" s="310">
        <f>VLOOKUP(A61,'2.1.Atributos MGGTI'!$A$6:$F$207,5,0)</f>
        <v>3</v>
      </c>
      <c r="D61" s="309" t="str">
        <f>VLOOKUP(A61,'2.1.Atributos MGGTI'!$A$6:$D$207,4,0)</f>
        <v xml:space="preserve">Desde la gestión de TI se lidera la concepción, desarrollo y gestión de capacidades de TI de acuerdo con las definiciones de la estrategia de TI. </v>
      </c>
      <c r="E61" s="309" t="str">
        <f>VLOOKUP(A61,'2.1.Atributos MGGTI'!$A$6:$F$207,6,0)</f>
        <v>Gobierno de TI</v>
      </c>
      <c r="F61" s="196">
        <v>1</v>
      </c>
      <c r="G61" s="264"/>
      <c r="H61" s="264"/>
    </row>
    <row r="62" spans="1:8" ht="60" customHeight="1" x14ac:dyDescent="0.2">
      <c r="A62" s="308">
        <v>57</v>
      </c>
      <c r="B62" s="309" t="str">
        <f>VLOOKUP(A62,'2.1.Atributos MGGTI'!$A$6:$F$207,3,0)</f>
        <v>Liderazgo</v>
      </c>
      <c r="C62" s="310">
        <f>VLOOKUP(A62,'2.1.Atributos MGGTI'!$A$6:$F$207,5,0)</f>
        <v>4</v>
      </c>
      <c r="D62" s="309" t="str">
        <f>VLOOKUP(A62,'2.1.Atributos MGGTI'!$A$6:$D$207,4,0)</f>
        <v>Desde la gestión de TI de la entidad se lidera o gobierna de manera integral la concepción, planeación y desarrollo de las iniciativas  que conducen al desarrollo de capacidades y servicios de TI, así como su gestión una vez son habilitadas.</v>
      </c>
      <c r="E62" s="309" t="str">
        <f>VLOOKUP(A62,'2.1.Atributos MGGTI'!$A$6:$F$207,6,0)</f>
        <v>Gobierno de TI</v>
      </c>
      <c r="F62" s="196">
        <v>1</v>
      </c>
      <c r="G62" s="264"/>
      <c r="H62" s="264"/>
    </row>
    <row r="63" spans="1:8" ht="60" customHeight="1" x14ac:dyDescent="0.2">
      <c r="A63" s="308">
        <v>58</v>
      </c>
      <c r="B63" s="309" t="str">
        <f>VLOOKUP(A63,'2.1.Atributos MGGTI'!$A$6:$F$207,3,0)</f>
        <v>Liderazgo</v>
      </c>
      <c r="C63" s="310">
        <f>VLOOKUP(A63,'2.1.Atributos MGGTI'!$A$6:$F$207,5,0)</f>
        <v>5</v>
      </c>
      <c r="D63" s="309" t="str">
        <f>VLOOKUP(A63,'2.1.Atributos MGGTI'!$A$6:$D$207,4,0)</f>
        <v>El liderazgo de la gestión de TI es reconocido en toda la entidad  y es un factor de transformación y fortalecimiento institucional.</v>
      </c>
      <c r="E63" s="309" t="str">
        <f>VLOOKUP(A63,'2.1.Atributos MGGTI'!$A$6:$F$207,6,0)</f>
        <v>Gobierno de TI</v>
      </c>
      <c r="F63" s="196">
        <v>1</v>
      </c>
      <c r="G63" s="264"/>
      <c r="H63" s="264"/>
    </row>
    <row r="64" spans="1:8" ht="60" customHeight="1" x14ac:dyDescent="0.2">
      <c r="A64" s="308">
        <v>59</v>
      </c>
      <c r="B64" s="309" t="str">
        <f>VLOOKUP(A64,'2.1.Atributos MGGTI'!$A$6:$F$207,3,0)</f>
        <v>Gestión de la demanda</v>
      </c>
      <c r="C64" s="310">
        <f>VLOOKUP(A64,'2.1.Atributos MGGTI'!$A$6:$F$207,5,0)</f>
        <v>2</v>
      </c>
      <c r="D64" s="309" t="str">
        <f>VLOOKUP(A64,'2.1.Atributos MGGTI'!$A$6:$D$207,4,0)</f>
        <v>La planeación, recolección de necesidades y definición de requerimientos para el desarrollo de servicios y capacidades de TI se realiza a nivel técnico, a partir de las solicitudes  generadas por las diferentes áreas de la entidad, a través de reuniones técnicas y/o de los mecanismos de soporte y atención al usuario.</v>
      </c>
      <c r="E64" s="309" t="str">
        <f>VLOOKUP(A64,'2.1.Atributos MGGTI'!$A$6:$F$207,6,0)</f>
        <v>Gobierno de TI</v>
      </c>
      <c r="F64" s="196">
        <v>1</v>
      </c>
      <c r="G64" s="264"/>
      <c r="H64" s="264"/>
    </row>
    <row r="65" spans="1:8" ht="60" customHeight="1" x14ac:dyDescent="0.2">
      <c r="A65" s="308">
        <v>60</v>
      </c>
      <c r="B65" s="309" t="str">
        <f>VLOOKUP(A65,'2.1.Atributos MGGTI'!$A$6:$F$207,3,0)</f>
        <v>Gestión de la demanda</v>
      </c>
      <c r="C65" s="310">
        <f>VLOOKUP(A65,'2.1.Atributos MGGTI'!$A$6:$F$207,5,0)</f>
        <v>3</v>
      </c>
      <c r="D65" s="309" t="str">
        <f>VLOOKUP(A65,'2.1.Atributos MGGTI'!$A$6:$D$207,4,0)</f>
        <v>La planeación, recolección de necesidades y definición de requerimientos para el desarrollo de servicios y capacidades de TI se realiza a nivel ejecutivo mediante un mecanismo o procedimiento formal a para el establecimiento de Acuerdos de desarrollo de servicios de TI entre TI y las partes interesadas de la entidad.</v>
      </c>
      <c r="E65" s="309" t="str">
        <f>VLOOKUP(A65,'2.1.Atributos MGGTI'!$A$6:$F$207,6,0)</f>
        <v>Gobierno de TI</v>
      </c>
      <c r="F65" s="196">
        <v>1</v>
      </c>
      <c r="G65" s="264"/>
      <c r="H65" s="264"/>
    </row>
    <row r="66" spans="1:8" ht="60" customHeight="1" x14ac:dyDescent="0.2">
      <c r="A66" s="308">
        <v>61</v>
      </c>
      <c r="B66" s="309" t="str">
        <f>VLOOKUP(A66,'2.1.Atributos MGGTI'!$A$6:$F$207,3,0)</f>
        <v>Gestión de la demanda</v>
      </c>
      <c r="C66" s="310">
        <f>VLOOKUP(A66,'2.1.Atributos MGGTI'!$A$6:$F$207,5,0)</f>
        <v>4</v>
      </c>
      <c r="D66" s="309" t="str">
        <f>VLOOKUP(A66,'2.1.Atributos MGGTI'!$A$6:$D$207,4,0)</f>
        <v>El mecanismo o procedimiento para el establecimiento de acuerdos de desarrollo de servicios y capacidades de TI se utiliza de manera periódica y sistemática, de tal manera que se asegura articulación  con las definiciones de la estrategia y planeación de TI.</v>
      </c>
      <c r="E66" s="309" t="str">
        <f>VLOOKUP(A66,'2.1.Atributos MGGTI'!$A$6:$F$207,6,0)</f>
        <v>Gobierno de TI</v>
      </c>
      <c r="F66" s="196">
        <v>1</v>
      </c>
      <c r="G66" s="264"/>
      <c r="H66" s="264"/>
    </row>
    <row r="67" spans="1:8" ht="60" customHeight="1" x14ac:dyDescent="0.2">
      <c r="A67" s="308">
        <v>62</v>
      </c>
      <c r="B67" s="309" t="str">
        <f>VLOOKUP(A67,'2.1.Atributos MGGTI'!$A$6:$F$207,3,0)</f>
        <v>Instancias de decisión</v>
      </c>
      <c r="C67" s="310">
        <f>VLOOKUP(A67,'2.1.Atributos MGGTI'!$A$6:$F$207,5,0)</f>
        <v>2</v>
      </c>
      <c r="D67" s="309" t="str">
        <f>VLOOKUP(A67,'2.1.Atributos MGGTI'!$A$6:$D$207,4,0)</f>
        <v>Desde la gestión de TI de la entidad se han establecido instancias para el seguimiento y toma de decisiones a nivel interno de este proceso (Reuniones de coordinación a nivel de área de TI, de grupo de trabajo TI, etc)</v>
      </c>
      <c r="E67" s="309" t="str">
        <f>VLOOKUP(A67,'2.1.Atributos MGGTI'!$A$6:$F$207,6,0)</f>
        <v>Gobierno de TI</v>
      </c>
      <c r="F67" s="196">
        <v>1</v>
      </c>
      <c r="G67" s="264"/>
      <c r="H67" s="264"/>
    </row>
    <row r="68" spans="1:8" ht="60" customHeight="1" x14ac:dyDescent="0.2">
      <c r="A68" s="308">
        <v>63</v>
      </c>
      <c r="B68" s="309" t="str">
        <f>VLOOKUP(A68,'2.1.Atributos MGGTI'!$A$6:$F$207,3,0)</f>
        <v>Instancias de decisión</v>
      </c>
      <c r="C68" s="310">
        <f>VLOOKUP(A68,'2.1.Atributos MGGTI'!$A$6:$F$207,5,0)</f>
        <v>3</v>
      </c>
      <c r="D68" s="309" t="str">
        <f>VLOOKUP(A68,'2.1.Atributos MGGTI'!$A$6:$D$207,4,0)</f>
        <v xml:space="preserve">Desde la gestión de TI de la entidad se han establecido instancias para la de toma de decisiones  y articulación de esfuerzos con otras procesos de la entidad. </v>
      </c>
      <c r="E68" s="309" t="str">
        <f>VLOOKUP(A68,'2.1.Atributos MGGTI'!$A$6:$F$207,6,0)</f>
        <v>Gobierno de TI</v>
      </c>
      <c r="F68" s="196">
        <v>1</v>
      </c>
      <c r="G68" s="264"/>
      <c r="H68" s="264"/>
    </row>
    <row r="69" spans="1:8" ht="60" customHeight="1" x14ac:dyDescent="0.2">
      <c r="A69" s="308">
        <v>64</v>
      </c>
      <c r="B69" s="309" t="str">
        <f>VLOOKUP(A69,'2.1.Atributos MGGTI'!$A$6:$F$207,3,0)</f>
        <v>Instancias de decisión</v>
      </c>
      <c r="C69" s="310">
        <f>VLOOKUP(A69,'2.1.Atributos MGGTI'!$A$6:$F$207,5,0)</f>
        <v>4</v>
      </c>
      <c r="D69" s="309" t="str">
        <f>VLOOKUP(A69,'2.1.Atributos MGGTI'!$A$6:$D$207,4,0)</f>
        <v xml:space="preserve">La dirección de la gestión de TI o sus representantes participan activamente en la instancias directivas de la entidad para asegurar la alineación estratégica permanente. </v>
      </c>
      <c r="E69" s="309" t="str">
        <f>VLOOKUP(A69,'2.1.Atributos MGGTI'!$A$6:$F$207,6,0)</f>
        <v>Gobierno de TI</v>
      </c>
      <c r="F69" s="196">
        <v>1</v>
      </c>
      <c r="G69" s="264"/>
      <c r="H69" s="264"/>
    </row>
    <row r="70" spans="1:8" ht="60" customHeight="1" x14ac:dyDescent="0.2">
      <c r="A70" s="308">
        <v>65</v>
      </c>
      <c r="B70" s="309" t="str">
        <f>VLOOKUP(A70,'2.1.Atributos MGGTI'!$A$6:$F$207,3,0)</f>
        <v>Instancias de decisión</v>
      </c>
      <c r="C70" s="310">
        <f>VLOOKUP(A70,'2.1.Atributos MGGTI'!$A$6:$F$207,5,0)</f>
        <v>5</v>
      </c>
      <c r="D70" s="309" t="str">
        <f>VLOOKUP(A70,'2.1.Atributos MGGTI'!$A$6:$D$207,4,0)</f>
        <v>La dirección de la gestión de TI o sus representantes participan activamente en instancias directivas externas a la entidad para la articulación de esfuezos y sinergias en el desarrollo de las capacidades y servicios de TI</v>
      </c>
      <c r="E70" s="309" t="str">
        <f>VLOOKUP(A70,'2.1.Atributos MGGTI'!$A$6:$F$207,6,0)</f>
        <v>Gobierno de TI</v>
      </c>
      <c r="F70" s="196">
        <v>1</v>
      </c>
      <c r="G70" s="264"/>
      <c r="H70" s="264"/>
    </row>
    <row r="71" spans="1:8" ht="60" customHeight="1" x14ac:dyDescent="0.2">
      <c r="A71" s="308">
        <v>66</v>
      </c>
      <c r="B71" s="309" t="str">
        <f>VLOOKUP(A71,'2.1.Atributos MGGTI'!$A$6:$F$207,3,0)</f>
        <v>Adquisiciones de TI</v>
      </c>
      <c r="C71" s="310">
        <f>VLOOKUP(A71,'2.1.Atributos MGGTI'!$A$6:$F$207,5,0)</f>
        <v>3</v>
      </c>
      <c r="D71" s="309" t="str">
        <f>VLOOKUP(A71,'2.1.Atributos MGGTI'!$A$6:$D$207,4,0)</f>
        <v xml:space="preserve">Existe un mecanismo o procedimiento definido para evaluar y seleccionar las alternativas de solución de TI a implementar previo a realizar la inversión o compra. </v>
      </c>
      <c r="E71" s="309" t="str">
        <f>VLOOKUP(A71,'2.1.Atributos MGGTI'!$A$6:$F$207,6,0)</f>
        <v>Gobierno de TI</v>
      </c>
      <c r="F71" s="196">
        <v>1</v>
      </c>
      <c r="G71" s="264"/>
      <c r="H71" s="264"/>
    </row>
    <row r="72" spans="1:8" ht="60" customHeight="1" x14ac:dyDescent="0.2">
      <c r="A72" s="308">
        <v>67</v>
      </c>
      <c r="B72" s="309" t="str">
        <f>VLOOKUP(A72,'2.1.Atributos MGGTI'!$A$6:$F$207,3,0)</f>
        <v>Adquisiciones de TI</v>
      </c>
      <c r="C72" s="310">
        <f>VLOOKUP(A72,'2.1.Atributos MGGTI'!$A$6:$F$207,5,0)</f>
        <v>3</v>
      </c>
      <c r="D72" s="309" t="str">
        <f>VLOOKUP(A72,'2.1.Atributos MGGTI'!$A$6:$D$207,4,0)</f>
        <v>Utiliza mecanismos de agregación de demanda o acuerdos marco de precio para la contratación de bienes y servicios de TI</v>
      </c>
      <c r="E72" s="309" t="str">
        <f>VLOOKUP(A72,'2.1.Atributos MGGTI'!$A$6:$F$207,6,0)</f>
        <v>Gobierno de TI</v>
      </c>
      <c r="F72" s="196">
        <v>1</v>
      </c>
      <c r="G72" s="264"/>
      <c r="H72" s="264"/>
    </row>
    <row r="73" spans="1:8" ht="60" customHeight="1" x14ac:dyDescent="0.2">
      <c r="A73" s="308">
        <v>68</v>
      </c>
      <c r="B73" s="309" t="str">
        <f>VLOOKUP(A73,'2.1.Atributos MGGTI'!$A$6:$F$207,3,0)</f>
        <v>Adquisiciones de TI</v>
      </c>
      <c r="C73" s="310">
        <f>VLOOKUP(A73,'2.1.Atributos MGGTI'!$A$6:$F$207,5,0)</f>
        <v>3</v>
      </c>
      <c r="D73" s="309" t="str">
        <f>VLOOKUP(A73,'2.1.Atributos MGGTI'!$A$6:$D$207,4,0)</f>
        <v xml:space="preserve">En los contratos de bienes y servicios de TI se incluyen los ANS de servicio que garantizan la prestación de acuerdo con los atributos de calidad definidos por la entidad. </v>
      </c>
      <c r="E73" s="309" t="str">
        <f>VLOOKUP(A73,'2.1.Atributos MGGTI'!$A$6:$F$207,6,0)</f>
        <v>Gobierno de TI</v>
      </c>
      <c r="F73" s="196">
        <v>1</v>
      </c>
      <c r="G73" s="264"/>
      <c r="H73" s="264"/>
    </row>
    <row r="74" spans="1:8" ht="60" customHeight="1" x14ac:dyDescent="0.2">
      <c r="A74" s="308">
        <v>69</v>
      </c>
      <c r="B74" s="309" t="str">
        <f>VLOOKUP(A74,'2.1.Atributos MGGTI'!$A$6:$F$207,3,0)</f>
        <v>Gestión de proveedores</v>
      </c>
      <c r="C74" s="310">
        <f>VLOOKUP(A74,'2.1.Atributos MGGTI'!$A$6:$F$207,5,0)</f>
        <v>3</v>
      </c>
      <c r="D74" s="309" t="str">
        <f>VLOOKUP(A74,'2.1.Atributos MGGTI'!$A$6:$D$207,4,0)</f>
        <v>La gestión de proveedores se realiza según el proceso de gestión contractual de la entidad y se tiene un esquema de gestión complementario para orientar la ejecución y seguimiento al desarrollo de las actividades contempladas en el alcance de los contratos, aplicando el Modelo de Gestión de proyectos de TI y mejores prácticas de gestión de proyectos.</v>
      </c>
      <c r="E74" s="309" t="str">
        <f>VLOOKUP(A74,'2.1.Atributos MGGTI'!$A$6:$F$207,6,0)</f>
        <v>Gobierno de TI</v>
      </c>
      <c r="F74" s="196">
        <v>1</v>
      </c>
      <c r="G74" s="264"/>
      <c r="H74" s="264"/>
    </row>
    <row r="75" spans="1:8" ht="60" customHeight="1" x14ac:dyDescent="0.2">
      <c r="A75" s="308">
        <v>70</v>
      </c>
      <c r="B75" s="309" t="str">
        <f>VLOOKUP(A75,'2.1.Atributos MGGTI'!$A$6:$F$207,3,0)</f>
        <v>Gestión de proyectos</v>
      </c>
      <c r="C75" s="310">
        <f>VLOOKUP(A75,'2.1.Atributos MGGTI'!$A$6:$F$207,5,0)</f>
        <v>3</v>
      </c>
      <c r="D75" s="309" t="str">
        <f>VLOOKUP(A75,'2.1.Atributos MGGTI'!$A$6:$D$207,4,0)</f>
        <v xml:space="preserve">Aplica una metodología de gestión de proyectos para la gestión integral de los proyectos de TI. </v>
      </c>
      <c r="E75" s="309" t="str">
        <f>VLOOKUP(A75,'2.1.Atributos MGGTI'!$A$6:$F$207,6,0)</f>
        <v>Gobierno de TI</v>
      </c>
      <c r="F75" s="196">
        <v>1</v>
      </c>
      <c r="G75" s="264"/>
      <c r="H75" s="264"/>
    </row>
    <row r="76" spans="1:8" ht="60" customHeight="1" x14ac:dyDescent="0.2">
      <c r="A76" s="308">
        <v>71</v>
      </c>
      <c r="B76" s="309" t="str">
        <f>VLOOKUP(A76,'2.1.Atributos MGGTI'!$A$6:$F$207,3,0)</f>
        <v>Gestión de proyectos</v>
      </c>
      <c r="C76" s="310">
        <f>VLOOKUP(A76,'2.1.Atributos MGGTI'!$A$6:$F$207,5,0)</f>
        <v>4</v>
      </c>
      <c r="D76" s="309" t="str">
        <f>VLOOKUP(A76,'2.1.Atributos MGGTI'!$A$6:$D$207,4,0)</f>
        <v>Aplica el Modelo de Gestión de Proyectos de TI del MRAE en la definición e implementación de la metodología integral de gestión de proyectos.</v>
      </c>
      <c r="E76" s="309" t="str">
        <f>VLOOKUP(A76,'2.1.Atributos MGGTI'!$A$6:$F$207,6,0)</f>
        <v>Gobierno de TI</v>
      </c>
      <c r="F76" s="196">
        <v>1</v>
      </c>
      <c r="G76" s="264"/>
      <c r="H76" s="264"/>
    </row>
    <row r="77" spans="1:8" ht="60" customHeight="1" x14ac:dyDescent="0.2">
      <c r="A77" s="308">
        <v>72</v>
      </c>
      <c r="B77" s="309" t="str">
        <f>VLOOKUP(A77,'2.1.Atributos MGGTI'!$A$6:$F$207,3,0)</f>
        <v>Derechos de autor</v>
      </c>
      <c r="C77" s="310">
        <f>VLOOKUP(A77,'2.1.Atributos MGGTI'!$A$6:$F$207,5,0)</f>
        <v>2</v>
      </c>
      <c r="D77" s="309" t="str">
        <f>VLOOKUP(A77,'2.1.Atributos MGGTI'!$A$6:$D$207,4,0)</f>
        <v xml:space="preserve">Incorpora dentro de los contratos para la adquicisión de bienes y servicios de TI, las cláusulas con los términos en materia de derechos de autor que apliquen según la figura de contratación utilizada. </v>
      </c>
      <c r="E77" s="309" t="str">
        <f>VLOOKUP(A77,'2.1.Atributos MGGTI'!$A$6:$F$207,6,0)</f>
        <v>Gobierno de TI</v>
      </c>
      <c r="F77" s="196">
        <v>1</v>
      </c>
      <c r="G77" s="264"/>
      <c r="H77" s="264"/>
    </row>
    <row r="78" spans="1:8" ht="60" customHeight="1" x14ac:dyDescent="0.2">
      <c r="A78" s="308">
        <v>73</v>
      </c>
      <c r="B78" s="309" t="str">
        <f>VLOOKUP(A78,'2.1.Atributos MGGTI'!$A$6:$F$207,3,0)</f>
        <v>Derechos de autor</v>
      </c>
      <c r="C78" s="310">
        <f>VLOOKUP(A78,'2.1.Atributos MGGTI'!$A$6:$F$207,5,0)</f>
        <v>3</v>
      </c>
      <c r="D78" s="309" t="str">
        <f>VLOOKUP(A78,'2.1.Atributos MGGTI'!$A$6:$D$207,4,0)</f>
        <v>Cuenta con un mecanismo o procedimiento estándarizado para definir las específicaciones de los derechos y requisitos legales en materia de los derechos de autor e incorporarlos en los contratos de adquisición de bienes y servicios de TI</v>
      </c>
      <c r="E78" s="309" t="str">
        <f>VLOOKUP(A78,'2.1.Atributos MGGTI'!$A$6:$F$207,6,0)</f>
        <v>Gobierno de TI</v>
      </c>
      <c r="F78" s="196">
        <v>1</v>
      </c>
      <c r="G78" s="264"/>
      <c r="H78" s="264"/>
    </row>
    <row r="79" spans="1:8" ht="60" customHeight="1" x14ac:dyDescent="0.2">
      <c r="A79" s="308">
        <v>74</v>
      </c>
      <c r="B79" s="309" t="str">
        <f>VLOOKUP(A79,'2.1.Atributos MGGTI'!$A$6:$F$207,3,0)</f>
        <v>Gobierno de la información</v>
      </c>
      <c r="C79" s="310">
        <f>VLOOKUP(A79,'2.1.Atributos MGGTI'!$A$6:$F$207,5,0)</f>
        <v>4</v>
      </c>
      <c r="D79" s="309" t="str">
        <f>VLOOKUP(A79,'2.1.Atributos MGGTI'!$A$6:$D$207,4,0)</f>
        <v>Se ha definido e implementado un esquema de gobierno de información para facilitar la gestión de la información en todo su ciclo de vida y está compuesto por: el proceso para gestión del ciclo de vida de la información, los roles y responsabilidades y las instancias de decisión.</v>
      </c>
      <c r="E79" s="309" t="str">
        <f>VLOOKUP(A79,'2.1.Atributos MGGTI'!$A$6:$F$207,6,0)</f>
        <v>Gestión de Información</v>
      </c>
      <c r="F79" s="196">
        <v>1</v>
      </c>
      <c r="G79" s="264"/>
      <c r="H79" s="264"/>
    </row>
    <row r="80" spans="1:8" ht="60" customHeight="1" x14ac:dyDescent="0.2">
      <c r="A80" s="308">
        <v>75</v>
      </c>
      <c r="B80" s="309" t="str">
        <f>VLOOKUP(A80,'2.1.Atributos MGGTI'!$A$6:$F$207,3,0)</f>
        <v>Gestión del ciclo de vida de la información</v>
      </c>
      <c r="C80" s="310">
        <f>VLOOKUP(A80,'2.1.Atributos MGGTI'!$A$6:$F$207,5,0)</f>
        <v>3</v>
      </c>
      <c r="D80" s="309" t="str">
        <f>VLOOKUP(A80,'2.1.Atributos MGGTI'!$A$6:$D$207,4,0)</f>
        <v xml:space="preserve">Se ha definido e implementado el proceso para la gestión del ciclo de vida de la información en cual se orientan el desarrollo de las actividades de planeación, recolección, validación, analisis, explotación, entre otras, de los datos y la información. </v>
      </c>
      <c r="E80" s="309" t="str">
        <f>VLOOKUP(A80,'2.1.Atributos MGGTI'!$A$6:$F$207,6,0)</f>
        <v>Gestión de Información</v>
      </c>
      <c r="F80" s="196">
        <v>1</v>
      </c>
      <c r="G80" s="264"/>
      <c r="H80" s="264"/>
    </row>
    <row r="81" spans="1:8" ht="60" customHeight="1" x14ac:dyDescent="0.2">
      <c r="A81" s="308">
        <v>76</v>
      </c>
      <c r="B81" s="309" t="str">
        <f>VLOOKUP(A81,'2.1.Atributos MGGTI'!$A$6:$F$207,3,0)</f>
        <v>Gestión del ciclo de vida de la información</v>
      </c>
      <c r="C81" s="310">
        <f>VLOOKUP(A81,'2.1.Atributos MGGTI'!$A$6:$F$207,5,0)</f>
        <v>4</v>
      </c>
      <c r="D81" s="309" t="str">
        <f>VLOOKUP(A81,'2.1.Atributos MGGTI'!$A$6:$D$207,4,0)</f>
        <v>Se realiza seguimiento y evaluación al proceso para la gestión del ciclo de vida de la información</v>
      </c>
      <c r="E81" s="309" t="str">
        <f>VLOOKUP(A81,'2.1.Atributos MGGTI'!$A$6:$F$207,6,0)</f>
        <v>Gestión de Información</v>
      </c>
      <c r="F81" s="196">
        <v>1</v>
      </c>
      <c r="G81" s="264"/>
      <c r="H81" s="264"/>
    </row>
    <row r="82" spans="1:8" ht="60" customHeight="1" x14ac:dyDescent="0.2">
      <c r="A82" s="308">
        <v>77</v>
      </c>
      <c r="B82" s="309" t="str">
        <f>VLOOKUP(A82,'2.1.Atributos MGGTI'!$A$6:$F$207,3,0)</f>
        <v>Gestión del ciclo de vida de la información</v>
      </c>
      <c r="C82" s="310">
        <f>VLOOKUP(A82,'2.1.Atributos MGGTI'!$A$6:$F$207,5,0)</f>
        <v>5</v>
      </c>
      <c r="D82" s="309" t="str">
        <f>VLOOKUP(A82,'2.1.Atributos MGGTI'!$A$6:$D$207,4,0)</f>
        <v xml:space="preserve">Se realiza mejora continua sobre el proceso para la gestión del ciclo de vida de la información </v>
      </c>
      <c r="E82" s="309" t="str">
        <f>VLOOKUP(A82,'2.1.Atributos MGGTI'!$A$6:$F$207,6,0)</f>
        <v>Gestión de Información</v>
      </c>
      <c r="F82" s="196">
        <v>1</v>
      </c>
      <c r="G82" s="264"/>
      <c r="H82" s="264"/>
    </row>
    <row r="83" spans="1:8" ht="60" customHeight="1" x14ac:dyDescent="0.2">
      <c r="A83" s="308">
        <v>78</v>
      </c>
      <c r="B83" s="309" t="str">
        <f>VLOOKUP(A83,'2.1.Atributos MGGTI'!$A$6:$F$207,3,0)</f>
        <v>Calidad de los datos</v>
      </c>
      <c r="C83" s="310">
        <f>VLOOKUP(A83,'2.1.Atributos MGGTI'!$A$6:$F$207,5,0)</f>
        <v>2</v>
      </c>
      <c r="D83" s="309" t="str">
        <f>VLOOKUP(A83,'2.1.Atributos MGGTI'!$A$6:$D$207,4,0)</f>
        <v xml:space="preserve">Tiene definido una estrategia de gestión de la calidad de los datos  considerando los procesos de aseguramiento, control, inspección y mejoramiento de la calidad de la información. </v>
      </c>
      <c r="E83" s="309" t="str">
        <f>VLOOKUP(A83,'2.1.Atributos MGGTI'!$A$6:$F$207,6,0)</f>
        <v>Gestión de Información</v>
      </c>
      <c r="F83" s="196">
        <v>1</v>
      </c>
      <c r="G83" s="264"/>
      <c r="H83" s="264"/>
    </row>
    <row r="84" spans="1:8" ht="60" customHeight="1" x14ac:dyDescent="0.2">
      <c r="A84" s="308">
        <v>79</v>
      </c>
      <c r="B84" s="309" t="str">
        <f>VLOOKUP(A84,'2.1.Atributos MGGTI'!$A$6:$F$207,3,0)</f>
        <v>Calidad de los datos</v>
      </c>
      <c r="C84" s="310">
        <f>VLOOKUP(A84,'2.1.Atributos MGGTI'!$A$6:$F$207,5,0)</f>
        <v>3</v>
      </c>
      <c r="D84" s="309" t="str">
        <f>VLOOKUP(A84,'2.1.Atributos MGGTI'!$A$6:$D$207,4,0)</f>
        <v>Implementa de manera sistemática el proceso de gestión de la calidad de los datos y hace la medición de la calidad utilizando indicadores y métricas.</v>
      </c>
      <c r="E84" s="309" t="str">
        <f>VLOOKUP(A84,'2.1.Atributos MGGTI'!$A$6:$F$207,6,0)</f>
        <v>Gestión de Información</v>
      </c>
      <c r="F84" s="196">
        <v>1</v>
      </c>
      <c r="G84" s="264"/>
      <c r="H84" s="264"/>
    </row>
    <row r="85" spans="1:8" ht="60" customHeight="1" x14ac:dyDescent="0.2">
      <c r="A85" s="308">
        <v>80</v>
      </c>
      <c r="B85" s="309" t="str">
        <f>VLOOKUP(A85,'2.1.Atributos MGGTI'!$A$6:$F$207,3,0)</f>
        <v>Calidad de los datos</v>
      </c>
      <c r="C85" s="310">
        <f>VLOOKUP(A85,'2.1.Atributos MGGTI'!$A$6:$F$207,5,0)</f>
        <v>4</v>
      </c>
      <c r="D85" s="309" t="str">
        <f>VLOOKUP(A85,'2.1.Atributos MGGTI'!$A$6:$D$207,4,0)</f>
        <v>Hace seguimiento y evaluación a la gestión de la calidad de los datos  y cuenta con mecanismos para el reporte  de hallazgos de calidad.</v>
      </c>
      <c r="E85" s="309" t="str">
        <f>VLOOKUP(A85,'2.1.Atributos MGGTI'!$A$6:$F$207,6,0)</f>
        <v>Gestión de Información</v>
      </c>
      <c r="F85" s="196">
        <v>1</v>
      </c>
      <c r="G85" s="264"/>
      <c r="H85" s="264"/>
    </row>
    <row r="86" spans="1:8" ht="60" customHeight="1" x14ac:dyDescent="0.2">
      <c r="A86" s="308">
        <v>81</v>
      </c>
      <c r="B86" s="309" t="str">
        <f>VLOOKUP(A86,'2.1.Atributos MGGTI'!$A$6:$F$207,3,0)</f>
        <v>Calidad de los datos</v>
      </c>
      <c r="C86" s="310">
        <f>VLOOKUP(A86,'2.1.Atributos MGGTI'!$A$6:$F$207,5,0)</f>
        <v>5</v>
      </c>
      <c r="D86" s="309" t="str">
        <f>VLOOKUP(A86,'2.1.Atributos MGGTI'!$A$6:$D$207,4,0)</f>
        <v>Implementa los controles de calidad y acciones de mejora sobre los datos. Implementa mecanismos para la correción sistemática de hallazgos de calidad de los datos</v>
      </c>
      <c r="E86" s="309" t="str">
        <f>VLOOKUP(A86,'2.1.Atributos MGGTI'!$A$6:$F$207,6,0)</f>
        <v>Gestión de Información</v>
      </c>
      <c r="F86" s="196">
        <v>1</v>
      </c>
      <c r="G86" s="264"/>
      <c r="H86" s="264"/>
    </row>
    <row r="87" spans="1:8" ht="60" customHeight="1" x14ac:dyDescent="0.2">
      <c r="A87" s="308">
        <v>82</v>
      </c>
      <c r="B87" s="309" t="str">
        <f>VLOOKUP(A87,'2.1.Atributos MGGTI'!$A$6:$F$207,3,0)</f>
        <v>Documentos electrónicos</v>
      </c>
      <c r="C87" s="310">
        <f>VLOOKUP(A87,'2.1.Atributos MGGTI'!$A$6:$F$207,5,0)</f>
        <v>3</v>
      </c>
      <c r="D87" s="309" t="str">
        <f>VLOOKUP(A87,'2.1.Atributos MGGTI'!$A$6:$D$207,4,0)</f>
        <v>Se cuenta con un proceso y mecanismos para el registro y administración de los documentos electrónicos y su expediente, es transversal a todos los procesos de la entidad.</v>
      </c>
      <c r="E87" s="309" t="str">
        <f>VLOOKUP(A87,'2.1.Atributos MGGTI'!$A$6:$F$207,6,0)</f>
        <v>Gestión de Información</v>
      </c>
      <c r="F87" s="196">
        <v>1</v>
      </c>
      <c r="G87" s="264"/>
      <c r="H87" s="264"/>
    </row>
    <row r="88" spans="1:8" ht="60" customHeight="1" x14ac:dyDescent="0.2">
      <c r="A88" s="308">
        <v>83</v>
      </c>
      <c r="B88" s="309" t="str">
        <f>VLOOKUP(A88,'2.1.Atributos MGGTI'!$A$6:$F$207,3,0)</f>
        <v>Documentos electrónicos</v>
      </c>
      <c r="C88" s="310">
        <f>VLOOKUP(A88,'2.1.Atributos MGGTI'!$A$6:$F$207,5,0)</f>
        <v>4</v>
      </c>
      <c r="D88" s="309" t="str">
        <f>VLOOKUP(A88,'2.1.Atributos MGGTI'!$A$6:$D$207,4,0)</f>
        <v xml:space="preserve">Se realiza el seguimiento a los mecanismos de gestión de documentos electrónicos mediante la medición de indicadores en tableros de control </v>
      </c>
      <c r="E88" s="309" t="str">
        <f>VLOOKUP(A88,'2.1.Atributos MGGTI'!$A$6:$F$207,6,0)</f>
        <v>Gestión de Información</v>
      </c>
      <c r="F88" s="196">
        <v>1</v>
      </c>
      <c r="G88" s="264"/>
      <c r="H88" s="264"/>
    </row>
    <row r="89" spans="1:8" ht="60" customHeight="1" x14ac:dyDescent="0.2">
      <c r="A89" s="308">
        <v>84</v>
      </c>
      <c r="B89" s="309" t="str">
        <f>VLOOKUP(A89,'2.1.Atributos MGGTI'!$A$6:$F$207,3,0)</f>
        <v>Documentos electrónicos</v>
      </c>
      <c r="C89" s="310">
        <f>VLOOKUP(A89,'2.1.Atributos MGGTI'!$A$6:$F$207,5,0)</f>
        <v>5</v>
      </c>
      <c r="D89" s="309" t="str">
        <f>VLOOKUP(A89,'2.1.Atributos MGGTI'!$A$6:$D$207,4,0)</f>
        <v xml:space="preserve">Se realiza mejora continua a los mecanismos  para la gestión de documentos electrónicos. </v>
      </c>
      <c r="E89" s="309" t="str">
        <f>VLOOKUP(A89,'2.1.Atributos MGGTI'!$A$6:$F$207,6,0)</f>
        <v>Gestión de Información</v>
      </c>
      <c r="F89" s="196">
        <v>1</v>
      </c>
      <c r="G89" s="264"/>
      <c r="H89" s="264"/>
    </row>
    <row r="90" spans="1:8" ht="60" customHeight="1" x14ac:dyDescent="0.2">
      <c r="A90" s="308">
        <v>85</v>
      </c>
      <c r="B90" s="309" t="str">
        <f>VLOOKUP(A90,'2.1.Atributos MGGTI'!$A$6:$F$207,3,0)</f>
        <v>Referencia geospacial</v>
      </c>
      <c r="C90" s="310">
        <f>VLOOKUP(A90,'2.1.Atributos MGGTI'!$A$6:$F$207,5,0)</f>
        <v>3</v>
      </c>
      <c r="D90" s="309" t="str">
        <f>VLOOKUP(A90,'2.1.Atributos MGGTI'!$A$6:$D$207,4,0)</f>
        <v xml:space="preserve">La entidad cuenta con mecanismos para implementar y gestionar información geospacial desde los sistemas de información. </v>
      </c>
      <c r="E90" s="309" t="str">
        <f>VLOOKUP(A90,'2.1.Atributos MGGTI'!$A$6:$F$207,6,0)</f>
        <v>Gestión de Información</v>
      </c>
      <c r="F90" s="196">
        <v>1</v>
      </c>
      <c r="G90" s="264"/>
      <c r="H90" s="264"/>
    </row>
    <row r="91" spans="1:8" ht="60" customHeight="1" x14ac:dyDescent="0.2">
      <c r="A91" s="308">
        <v>86</v>
      </c>
      <c r="B91" s="309" t="str">
        <f>VLOOKUP(A91,'2.1.Atributos MGGTI'!$A$6:$F$207,3,0)</f>
        <v>Referencia geospacial</v>
      </c>
      <c r="C91" s="310">
        <f>VLOOKUP(A91,'2.1.Atributos MGGTI'!$A$6:$F$207,5,0)</f>
        <v>4</v>
      </c>
      <c r="D91" s="309" t="str">
        <f>VLOOKUP(A91,'2.1.Atributos MGGTI'!$A$6:$D$207,4,0)</f>
        <v xml:space="preserve">Las adopta las directrices y lineamientos encaminados a facilitar los procesos de gestión geoespacial, de acuerdo con lo definido en el Marco de Referencia Geoespacial del ICDE y demás políticas y lineamientos en esta materia que le apliquen a la entidad y se encuentren vigentes. </v>
      </c>
      <c r="E91" s="309" t="str">
        <f>VLOOKUP(A91,'2.1.Atributos MGGTI'!$A$6:$F$207,6,0)</f>
        <v>Gestión de Información</v>
      </c>
      <c r="F91" s="196">
        <v>1</v>
      </c>
      <c r="G91" s="264"/>
      <c r="H91" s="264"/>
    </row>
    <row r="92" spans="1:8" ht="60" customHeight="1" x14ac:dyDescent="0.2">
      <c r="A92" s="308">
        <v>87</v>
      </c>
      <c r="B92" s="309" t="str">
        <f>VLOOKUP(A92,'2.1.Atributos MGGTI'!$A$6:$F$207,3,0)</f>
        <v>Intercambio de información</v>
      </c>
      <c r="C92" s="310">
        <f>VLOOKUP(A92,'2.1.Atributos MGGTI'!$A$6:$F$207,5,0)</f>
        <v>2</v>
      </c>
      <c r="D92" s="309" t="str">
        <f>VLOOKUP(A92,'2.1.Atributos MGGTI'!$A$6:$D$207,4,0)</f>
        <v>La entidad intercambia información con otras entidades haciendo uso de estructuras de información estandarizadas</v>
      </c>
      <c r="E92" s="309" t="str">
        <f>VLOOKUP(A92,'2.1.Atributos MGGTI'!$A$6:$F$207,6,0)</f>
        <v>Gestión de Información</v>
      </c>
      <c r="F92" s="196">
        <v>1</v>
      </c>
      <c r="G92" s="264"/>
      <c r="H92" s="264"/>
    </row>
    <row r="93" spans="1:8" ht="60" customHeight="1" x14ac:dyDescent="0.2">
      <c r="A93" s="308">
        <v>88</v>
      </c>
      <c r="B93" s="309" t="str">
        <f>VLOOKUP(A93,'2.1.Atributos MGGTI'!$A$6:$F$207,3,0)</f>
        <v>Intercambio de información</v>
      </c>
      <c r="C93" s="310">
        <f>VLOOKUP(A93,'2.1.Atributos MGGTI'!$A$6:$F$207,5,0)</f>
        <v>3</v>
      </c>
      <c r="D93" s="309" t="str">
        <f>VLOOKUP(A93,'2.1.Atributos MGGTI'!$A$6:$D$207,4,0)</f>
        <v>La entidad intercambia información con otras entidades desde cada sistemas de información, haciendo uso de un lenguaje estandarizado o común de intercambio.</v>
      </c>
      <c r="E93" s="309" t="str">
        <f>VLOOKUP(A93,'2.1.Atributos MGGTI'!$A$6:$F$207,6,0)</f>
        <v>Gestión de Información</v>
      </c>
      <c r="F93" s="196">
        <v>1</v>
      </c>
      <c r="G93" s="264"/>
      <c r="H93" s="264"/>
    </row>
    <row r="94" spans="1:8" ht="60" customHeight="1" x14ac:dyDescent="0.2">
      <c r="A94" s="308">
        <v>89</v>
      </c>
      <c r="B94" s="309" t="str">
        <f>VLOOKUP(A94,'2.1.Atributos MGGTI'!$A$6:$F$207,3,0)</f>
        <v>Intercambio de información</v>
      </c>
      <c r="C94" s="310">
        <f>VLOOKUP(A94,'2.1.Atributos MGGTI'!$A$6:$F$207,5,0)</f>
        <v>4</v>
      </c>
      <c r="D94" s="309" t="str">
        <f>VLOOKUP(A94,'2.1.Atributos MGGTI'!$A$6:$D$207,4,0)</f>
        <v xml:space="preserve">La entidad intercambia información con otras entidades a través de la plataforma de interoperabilidad, y aplica el marco de interoperabilidad del Estado. </v>
      </c>
      <c r="E94" s="309" t="str">
        <f>VLOOKUP(A94,'2.1.Atributos MGGTI'!$A$6:$F$207,6,0)</f>
        <v>Gestión de Información</v>
      </c>
      <c r="F94" s="196">
        <v>1</v>
      </c>
      <c r="G94" s="264"/>
      <c r="H94" s="264"/>
    </row>
    <row r="95" spans="1:8" ht="60" customHeight="1" x14ac:dyDescent="0.2">
      <c r="A95" s="308">
        <v>90</v>
      </c>
      <c r="B95" s="309" t="str">
        <f>VLOOKUP(A95,'2.1.Atributos MGGTI'!$A$6:$F$207,3,0)</f>
        <v>Intercambio de información</v>
      </c>
      <c r="C95" s="310">
        <f>VLOOKUP(A95,'2.1.Atributos MGGTI'!$A$6:$F$207,5,0)</f>
        <v>5</v>
      </c>
      <c r="D95" s="309" t="str">
        <f>VLOOKUP(A95,'2.1.Atributos MGGTI'!$A$6:$D$207,4,0)</f>
        <v>La entidad define e implementa Acuerdos de Niveles de Servicio (ANS) de intercambio con otras entidades y establece nuevas estrategias.</v>
      </c>
      <c r="E95" s="309" t="str">
        <f>VLOOKUP(A95,'2.1.Atributos MGGTI'!$A$6:$F$207,6,0)</f>
        <v>Gestión de Información</v>
      </c>
      <c r="F95" s="196">
        <v>1</v>
      </c>
      <c r="G95" s="264"/>
      <c r="H95" s="264"/>
    </row>
    <row r="96" spans="1:8" ht="60" customHeight="1" x14ac:dyDescent="0.2">
      <c r="A96" s="308">
        <v>91</v>
      </c>
      <c r="B96" s="309" t="str">
        <f>VLOOKUP(A96,'2.1.Atributos MGGTI'!$A$6:$F$207,3,0)</f>
        <v>Codigo postal</v>
      </c>
      <c r="C96" s="310">
        <f>VLOOKUP(A96,'2.1.Atributos MGGTI'!$A$6:$F$207,5,0)</f>
        <v>3</v>
      </c>
      <c r="D96" s="309" t="str">
        <f>VLOOKUP(A96,'2.1.Atributos MGGTI'!$A$6:$D$207,4,0)</f>
        <v>La entidad usa el codigo postal en sus  modelos de información y sistemas de información</v>
      </c>
      <c r="E96" s="309" t="str">
        <f>VLOOKUP(A96,'2.1.Atributos MGGTI'!$A$6:$F$207,6,0)</f>
        <v>Gestión de Información</v>
      </c>
      <c r="F96" s="196">
        <v>1</v>
      </c>
      <c r="G96" s="264"/>
      <c r="H96" s="264"/>
    </row>
    <row r="97" spans="1:8" ht="60" customHeight="1" x14ac:dyDescent="0.2">
      <c r="A97" s="308">
        <v>92</v>
      </c>
      <c r="B97" s="309" t="str">
        <f>VLOOKUP(A97,'2.1.Atributos MGGTI'!$A$6:$F$207,3,0)</f>
        <v>Explotación de datos</v>
      </c>
      <c r="C97" s="310">
        <f>VLOOKUP(A97,'2.1.Atributos MGGTI'!$A$6:$F$207,5,0)</f>
        <v>3</v>
      </c>
      <c r="D97" s="309" t="str">
        <f>VLOOKUP(A97,'2.1.Atributos MGGTI'!$A$6:$D$207,4,0)</f>
        <v xml:space="preserve">Utiliza mecanismos de explotación de datos para facilitar el análisis, uso y aprovechamiento de la información. Son estándarizados y se ofrecen como servicios a los grupos de interés. </v>
      </c>
      <c r="E97" s="309" t="str">
        <f>VLOOKUP(A97,'2.1.Atributos MGGTI'!$A$6:$F$207,6,0)</f>
        <v>Gestión de Información</v>
      </c>
      <c r="F97" s="196">
        <v>1</v>
      </c>
      <c r="G97" s="264"/>
      <c r="H97" s="264"/>
    </row>
    <row r="98" spans="1:8" ht="60" customHeight="1" x14ac:dyDescent="0.2">
      <c r="A98" s="308">
        <v>93</v>
      </c>
      <c r="B98" s="309" t="str">
        <f>VLOOKUP(A98,'2.1.Atributos MGGTI'!$A$6:$F$207,3,0)</f>
        <v>Explotación de datos</v>
      </c>
      <c r="C98" s="310">
        <f>VLOOKUP(A98,'2.1.Atributos MGGTI'!$A$6:$F$207,5,0)</f>
        <v>4</v>
      </c>
      <c r="D98" s="309" t="str">
        <f>VLOOKUP(A98,'2.1.Atributos MGGTI'!$A$6:$D$207,4,0)</f>
        <v xml:space="preserve">Se realizan acciones para generar capacidades de análisis de información para fomentar el uso y aprovechamiento por parte de los grupos de interés. </v>
      </c>
      <c r="E98" s="309" t="str">
        <f>VLOOKUP(A98,'2.1.Atributos MGGTI'!$A$6:$F$207,6,0)</f>
        <v>Gestión de Información</v>
      </c>
      <c r="F98" s="196">
        <v>1</v>
      </c>
      <c r="G98" s="264"/>
      <c r="H98" s="264"/>
    </row>
    <row r="99" spans="1:8" ht="60" customHeight="1" x14ac:dyDescent="0.2">
      <c r="A99" s="308">
        <v>94</v>
      </c>
      <c r="B99" s="309" t="str">
        <f>VLOOKUP(A99,'2.1.Atributos MGGTI'!$A$6:$F$207,3,0)</f>
        <v>Explotación de datos</v>
      </c>
      <c r="C99" s="310">
        <f>VLOOKUP(A99,'2.1.Atributos MGGTI'!$A$6:$F$207,5,0)</f>
        <v>5</v>
      </c>
      <c r="D99" s="309" t="str">
        <f>VLOOKUP(A99,'2.1.Atributos MGGTI'!$A$6:$D$207,4,0)</f>
        <v xml:space="preserve">Se hace seguimiento, evaluación del uso y se ejecutan acciones de mejoramiento sobre los mecanismos para la explotación de los datos. </v>
      </c>
      <c r="E99" s="309" t="str">
        <f>VLOOKUP(A99,'2.1.Atributos MGGTI'!$A$6:$F$207,6,0)</f>
        <v>Gestión de Información</v>
      </c>
      <c r="F99" s="196">
        <v>1</v>
      </c>
      <c r="G99" s="264"/>
      <c r="H99" s="264"/>
    </row>
    <row r="100" spans="1:8" ht="60" customHeight="1" x14ac:dyDescent="0.2">
      <c r="A100" s="308">
        <v>95</v>
      </c>
      <c r="B100" s="309" t="str">
        <f>VLOOKUP(A100,'2.1.Atributos MGGTI'!$A$6:$F$207,3,0)</f>
        <v>Datos maestros</v>
      </c>
      <c r="C100" s="310">
        <f>VLOOKUP(A100,'2.1.Atributos MGGTI'!$A$6:$F$207,5,0)</f>
        <v>3</v>
      </c>
      <c r="D100" s="309" t="str">
        <f>VLOOKUP(A100,'2.1.Atributos MGGTI'!$A$6:$D$207,4,0)</f>
        <v>Se cuenta con un mecanismo o procedimiento para la gestión de los datos maestros en la entidad que incluya su analisis, definición, gobierno e implementación.</v>
      </c>
      <c r="E100" s="309" t="str">
        <f>VLOOKUP(A100,'2.1.Atributos MGGTI'!$A$6:$F$207,6,0)</f>
        <v>Gestión de Información</v>
      </c>
      <c r="F100" s="196">
        <v>1</v>
      </c>
      <c r="G100" s="264"/>
      <c r="H100" s="264"/>
    </row>
    <row r="101" spans="1:8" ht="60" customHeight="1" x14ac:dyDescent="0.2">
      <c r="A101" s="308">
        <v>96</v>
      </c>
      <c r="B101" s="309" t="str">
        <f>VLOOKUP(A101,'2.1.Atributos MGGTI'!$A$6:$F$207,3,0)</f>
        <v>Datos maestros</v>
      </c>
      <c r="C101" s="310">
        <f>VLOOKUP(A101,'2.1.Atributos MGGTI'!$A$6:$F$207,5,0)</f>
        <v>4</v>
      </c>
      <c r="D101" s="309" t="str">
        <f>VLOOKUP(A101,'2.1.Atributos MGGTI'!$A$6:$D$207,4,0)</f>
        <v>Se realiza seguimiento y evaluación al procedimiento para la gestión de datos maestros</v>
      </c>
      <c r="E101" s="309" t="str">
        <f>VLOOKUP(A101,'2.1.Atributos MGGTI'!$A$6:$F$207,6,0)</f>
        <v>Gestión de Información</v>
      </c>
      <c r="F101" s="196">
        <v>1</v>
      </c>
      <c r="G101" s="264"/>
      <c r="H101" s="264"/>
    </row>
    <row r="102" spans="1:8" ht="60" customHeight="1" x14ac:dyDescent="0.2">
      <c r="A102" s="308">
        <v>97</v>
      </c>
      <c r="B102" s="309" t="str">
        <f>VLOOKUP(A102,'2.1.Atributos MGGTI'!$A$6:$F$207,3,0)</f>
        <v>Datos maestros</v>
      </c>
      <c r="C102" s="310">
        <f>VLOOKUP(A102,'2.1.Atributos MGGTI'!$A$6:$F$207,5,0)</f>
        <v>5</v>
      </c>
      <c r="D102" s="309" t="str">
        <f>VLOOKUP(A102,'2.1.Atributos MGGTI'!$A$6:$D$207,4,0)</f>
        <v xml:space="preserve">Se realiza mejora continua a partir de los resultados del seguimiento al procedimiento de gestión de datos maestros. </v>
      </c>
      <c r="E102" s="309" t="str">
        <f>VLOOKUP(A102,'2.1.Atributos MGGTI'!$A$6:$F$207,6,0)</f>
        <v>Gestión de Información</v>
      </c>
      <c r="F102" s="196">
        <v>1</v>
      </c>
      <c r="G102" s="264"/>
      <c r="H102" s="264"/>
    </row>
    <row r="103" spans="1:8" ht="60" customHeight="1" x14ac:dyDescent="0.2">
      <c r="A103" s="308">
        <v>98</v>
      </c>
      <c r="B103" s="309" t="str">
        <f>VLOOKUP(A103,'2.1.Atributos MGGTI'!$A$6:$F$207,3,0)</f>
        <v>Metadatos</v>
      </c>
      <c r="C103" s="310">
        <f>VLOOKUP(A103,'2.1.Atributos MGGTI'!$A$6:$F$207,5,0)</f>
        <v>3</v>
      </c>
      <c r="D103" s="309" t="str">
        <f>VLOOKUP(A103,'2.1.Atributos MGGTI'!$A$6:$D$207,4,0)</f>
        <v>Se cuenta con un mecanismo o procedimiento para la gestión de los metadatos en la entidad que incluya su analisis, definición, mantenimiento y disposición para el uso.</v>
      </c>
      <c r="E103" s="309" t="str">
        <f>VLOOKUP(A103,'2.1.Atributos MGGTI'!$A$6:$F$207,6,0)</f>
        <v>Gestión de Información</v>
      </c>
      <c r="F103" s="196">
        <v>1</v>
      </c>
      <c r="G103" s="264"/>
      <c r="H103" s="264"/>
    </row>
    <row r="104" spans="1:8" ht="60" customHeight="1" x14ac:dyDescent="0.2">
      <c r="A104" s="308">
        <v>99</v>
      </c>
      <c r="B104" s="309" t="str">
        <f>VLOOKUP(A104,'2.1.Atributos MGGTI'!$A$6:$F$207,3,0)</f>
        <v>Metadatos</v>
      </c>
      <c r="C104" s="310">
        <f>VLOOKUP(A104,'2.1.Atributos MGGTI'!$A$6:$F$207,5,0)</f>
        <v>4</v>
      </c>
      <c r="D104" s="309" t="str">
        <f>VLOOKUP(A104,'2.1.Atributos MGGTI'!$A$6:$D$207,4,0)</f>
        <v>Se realiza seguimiento y evaluación al procedimiento para la gestión de metadatos</v>
      </c>
      <c r="E104" s="309" t="str">
        <f>VLOOKUP(A104,'2.1.Atributos MGGTI'!$A$6:$F$207,6,0)</f>
        <v>Gestión de Información</v>
      </c>
      <c r="F104" s="196">
        <v>1</v>
      </c>
      <c r="G104" s="264"/>
      <c r="H104" s="264"/>
    </row>
    <row r="105" spans="1:8" ht="60" customHeight="1" x14ac:dyDescent="0.2">
      <c r="A105" s="308">
        <v>100</v>
      </c>
      <c r="B105" s="309" t="str">
        <f>VLOOKUP(A105,'2.1.Atributos MGGTI'!$A$6:$F$207,3,0)</f>
        <v>Metadatos</v>
      </c>
      <c r="C105" s="310">
        <f>VLOOKUP(A105,'2.1.Atributos MGGTI'!$A$6:$F$207,5,0)</f>
        <v>5</v>
      </c>
      <c r="D105" s="309" t="str">
        <f>VLOOKUP(A105,'2.1.Atributos MGGTI'!$A$6:$D$207,4,0)</f>
        <v>Se realiza mejora continua a partir de los resultados del seguimiento al procedimiento de gestión de metadatos</v>
      </c>
      <c r="E105" s="309" t="str">
        <f>VLOOKUP(A105,'2.1.Atributos MGGTI'!$A$6:$F$207,6,0)</f>
        <v>Gestión de Información</v>
      </c>
      <c r="F105" s="196">
        <v>1</v>
      </c>
      <c r="G105" s="264"/>
      <c r="H105" s="264"/>
    </row>
    <row r="106" spans="1:8" ht="60" customHeight="1" x14ac:dyDescent="0.2">
      <c r="A106" s="308">
        <v>101</v>
      </c>
      <c r="B106" s="309" t="str">
        <f>VLOOKUP(A106,'2.1.Atributos MGGTI'!$A$6:$F$207,3,0)</f>
        <v>Datos abiertos</v>
      </c>
      <c r="C106" s="310">
        <f>VLOOKUP(A106,'2.1.Atributos MGGTI'!$A$6:$F$207,5,0)</f>
        <v>3</v>
      </c>
      <c r="D106" s="309" t="str">
        <f>VLOOKUP(A106,'2.1.Atributos MGGTI'!$A$6:$D$207,4,0)</f>
        <v xml:space="preserve">La entidad cuenta con un mecanismo o procedimiento para gestionar el ciclo de apertura, mejora y uso de los datos abiertos que incluye la definición, estructuración, publicación, divulgación y monitoreo de la calidad y uso.  </v>
      </c>
      <c r="E106" s="309" t="str">
        <f>VLOOKUP(A106,'2.1.Atributos MGGTI'!$A$6:$F$207,6,0)</f>
        <v>Gestión de Información</v>
      </c>
      <c r="F106" s="196">
        <v>1</v>
      </c>
      <c r="G106" s="264"/>
      <c r="H106" s="264"/>
    </row>
    <row r="107" spans="1:8" ht="60" customHeight="1" x14ac:dyDescent="0.2">
      <c r="A107" s="308">
        <v>102</v>
      </c>
      <c r="B107" s="309" t="str">
        <f>VLOOKUP(A107,'2.1.Atributos MGGTI'!$A$6:$F$207,3,0)</f>
        <v>Datos abiertos</v>
      </c>
      <c r="C107" s="310">
        <f>VLOOKUP(A107,'2.1.Atributos MGGTI'!$A$6:$F$207,5,0)</f>
        <v>4</v>
      </c>
      <c r="D107" s="309" t="str">
        <f>VLOOKUP(A107,'2.1.Atributos MGGTI'!$A$6:$D$207,4,0)</f>
        <v>Se realiza monitoreo y evaluación a la gestión de datos abiertos de la entidad</v>
      </c>
      <c r="E107" s="309" t="str">
        <f>VLOOKUP(A107,'2.1.Atributos MGGTI'!$A$6:$F$207,6,0)</f>
        <v>Gestión de Información</v>
      </c>
      <c r="F107" s="196">
        <v>1</v>
      </c>
      <c r="G107" s="264"/>
      <c r="H107" s="264"/>
    </row>
    <row r="108" spans="1:8" ht="60" customHeight="1" x14ac:dyDescent="0.2">
      <c r="A108" s="308">
        <v>103</v>
      </c>
      <c r="B108" s="309" t="str">
        <f>VLOOKUP(A108,'2.1.Atributos MGGTI'!$A$6:$F$207,3,0)</f>
        <v>Datos abiertos</v>
      </c>
      <c r="C108" s="310">
        <f>VLOOKUP(A108,'2.1.Atributos MGGTI'!$A$6:$F$207,5,0)</f>
        <v>5</v>
      </c>
      <c r="D108" s="309" t="str">
        <f>VLOOKUP(A108,'2.1.Atributos MGGTI'!$A$6:$D$207,4,0)</f>
        <v>Se realiza mejora continua a la gestión de datos abiertos de la entidad</v>
      </c>
      <c r="E108" s="309" t="str">
        <f>VLOOKUP(A108,'2.1.Atributos MGGTI'!$A$6:$F$207,6,0)</f>
        <v>Gestión de Información</v>
      </c>
      <c r="F108" s="196">
        <v>1</v>
      </c>
      <c r="G108" s="264"/>
      <c r="H108" s="264"/>
    </row>
    <row r="109" spans="1:8" ht="60" customHeight="1" x14ac:dyDescent="0.2">
      <c r="A109" s="308">
        <v>104</v>
      </c>
      <c r="B109" s="309" t="str">
        <f>VLOOKUP(A109,'2.1.Atributos MGGTI'!$A$6:$F$207,3,0)</f>
        <v>Ciclo de vida de la información</v>
      </c>
      <c r="C109" s="310">
        <f>VLOOKUP(A109,'2.1.Atributos MGGTI'!$A$6:$F$207,5,0)</f>
        <v>2</v>
      </c>
      <c r="D109" s="309" t="str">
        <f>VLOOKUP(A109,'2.1.Atributos MGGTI'!$A$6:$D$207,4,0)</f>
        <v xml:space="preserve">Se ha definido un proceso para la gestión integral y  gobierno del ciclo de vida de los sistemas de información de la entidad, que oriente su  planeación, diseño, desarrollo e implementación desde el punto de vista de la gestión que se realiza desde la entidad y la articulación de actividades con terceros cuando aplique. </v>
      </c>
      <c r="E109" s="309" t="str">
        <f>VLOOKUP(A109,'2.1.Atributos MGGTI'!$A$6:$F$207,6,0)</f>
        <v xml:space="preserve">Sistemas de información </v>
      </c>
      <c r="F109" s="196">
        <v>1</v>
      </c>
      <c r="G109" s="264"/>
      <c r="H109" s="264"/>
    </row>
    <row r="110" spans="1:8" ht="60" customHeight="1" x14ac:dyDescent="0.2">
      <c r="A110" s="308">
        <v>105</v>
      </c>
      <c r="B110" s="309" t="str">
        <f>VLOOKUP(A110,'2.1.Atributos MGGTI'!$A$6:$F$207,3,0)</f>
        <v>Ciclo de vida de la información</v>
      </c>
      <c r="C110" s="310">
        <f>VLOOKUP(A110,'2.1.Atributos MGGTI'!$A$6:$F$207,5,0)</f>
        <v>3</v>
      </c>
      <c r="D110" s="309" t="str">
        <f>VLOOKUP(A110,'2.1.Atributos MGGTI'!$A$6:$D$207,4,0)</f>
        <v xml:space="preserve">El proceso para la gestión integral y gobierno de ciclo de vida de los sistemas de información es implementado </v>
      </c>
      <c r="E110" s="309" t="str">
        <f>VLOOKUP(A110,'2.1.Atributos MGGTI'!$A$6:$F$207,6,0)</f>
        <v xml:space="preserve">Sistemas de información </v>
      </c>
      <c r="F110" s="196">
        <v>1</v>
      </c>
      <c r="G110" s="264"/>
      <c r="H110" s="264"/>
    </row>
    <row r="111" spans="1:8" ht="60" customHeight="1" x14ac:dyDescent="0.2">
      <c r="A111" s="308">
        <v>106</v>
      </c>
      <c r="B111" s="309" t="str">
        <f>VLOOKUP(A111,'2.1.Atributos MGGTI'!$A$6:$F$207,3,0)</f>
        <v>Ciclo de vida de la información</v>
      </c>
      <c r="C111" s="310">
        <f>VLOOKUP(A111,'2.1.Atributos MGGTI'!$A$6:$F$207,5,0)</f>
        <v>4</v>
      </c>
      <c r="D111" s="309" t="str">
        <f>VLOOKUP(A111,'2.1.Atributos MGGTI'!$A$6:$D$207,4,0)</f>
        <v xml:space="preserve">Se realiza seguimiento y evaluación al proceso para la gestión integral y gobierno de ciclo de vida de los sistemas de información es implementado </v>
      </c>
      <c r="E111" s="309" t="str">
        <f>VLOOKUP(A111,'2.1.Atributos MGGTI'!$A$6:$F$207,6,0)</f>
        <v xml:space="preserve">Sistemas de información </v>
      </c>
      <c r="F111" s="196">
        <v>1</v>
      </c>
      <c r="G111" s="264"/>
      <c r="H111" s="264"/>
    </row>
    <row r="112" spans="1:8" ht="60" customHeight="1" x14ac:dyDescent="0.2">
      <c r="A112" s="308">
        <v>107</v>
      </c>
      <c r="B112" s="309" t="str">
        <f>VLOOKUP(A112,'2.1.Atributos MGGTI'!$A$6:$F$207,3,0)</f>
        <v>Ciclo de vida de la información</v>
      </c>
      <c r="C112" s="310">
        <f>VLOOKUP(A112,'2.1.Atributos MGGTI'!$A$6:$F$207,5,0)</f>
        <v>5</v>
      </c>
      <c r="D112" s="309" t="str">
        <f>VLOOKUP(A112,'2.1.Atributos MGGTI'!$A$6:$D$207,4,0)</f>
        <v xml:space="preserve">Se realiza mejora continúa al proceso para la gestión integral y gobierno de ciclo de vida de los sistemas de información es implementado </v>
      </c>
      <c r="E112" s="309" t="str">
        <f>VLOOKUP(A112,'2.1.Atributos MGGTI'!$A$6:$F$207,6,0)</f>
        <v xml:space="preserve">Sistemas de información </v>
      </c>
      <c r="F112" s="196">
        <v>1</v>
      </c>
      <c r="G112" s="264"/>
      <c r="H112" s="264"/>
    </row>
    <row r="113" spans="1:8" ht="60" customHeight="1" x14ac:dyDescent="0.2">
      <c r="A113" s="308">
        <v>108</v>
      </c>
      <c r="B113" s="309" t="str">
        <f>VLOOKUP(A113,'2.1.Atributos MGGTI'!$A$6:$F$207,3,0)</f>
        <v>Habilitación de capacidades institucionales con Sistemas de información</v>
      </c>
      <c r="C113" s="310">
        <f>VLOOKUP(A113,'2.1.Atributos MGGTI'!$A$6:$F$207,5,0)</f>
        <v>2</v>
      </c>
      <c r="D113" s="309" t="str">
        <f>VLOOKUP(A113,'2.1.Atributos MGGTI'!$A$6:$D$207,4,0)</f>
        <v>Los Sistemas de Información habilitan  los procesos y actividades de apoyo administrativo, misionales y de Direccionamiento de las áreas</v>
      </c>
      <c r="E113" s="309" t="str">
        <f>VLOOKUP(A113,'2.1.Atributos MGGTI'!$A$6:$F$207,6,0)</f>
        <v xml:space="preserve">Sistemas de información </v>
      </c>
      <c r="F113" s="196">
        <v>1</v>
      </c>
      <c r="G113" s="264"/>
      <c r="H113" s="264"/>
    </row>
    <row r="114" spans="1:8" ht="60" customHeight="1" x14ac:dyDescent="0.2">
      <c r="A114" s="308">
        <v>109</v>
      </c>
      <c r="B114" s="309" t="str">
        <f>VLOOKUP(A114,'2.1.Atributos MGGTI'!$A$6:$F$207,3,0)</f>
        <v>Habilitación de capacidades institucionales con Sistemas de información</v>
      </c>
      <c r="C114" s="310">
        <f>VLOOKUP(A114,'2.1.Atributos MGGTI'!$A$6:$F$207,5,0)</f>
        <v>3</v>
      </c>
      <c r="D114" s="309" t="str">
        <f>VLOOKUP(A114,'2.1.Atributos MGGTI'!$A$6:$D$207,4,0)</f>
        <v>Los Sistemas de Información habilitan y contribuyen al mejoramiento de los procesos y actividades de apoyo administrativo, misionales y de Direccionamiento de las áreas</v>
      </c>
      <c r="E114" s="309" t="str">
        <f>VLOOKUP(A114,'2.1.Atributos MGGTI'!$A$6:$F$207,6,0)</f>
        <v xml:space="preserve">Sistemas de información </v>
      </c>
      <c r="F114" s="196">
        <v>1</v>
      </c>
      <c r="G114" s="264"/>
      <c r="H114" s="264"/>
    </row>
    <row r="115" spans="1:8" ht="60" customHeight="1" x14ac:dyDescent="0.2">
      <c r="A115" s="308">
        <v>110</v>
      </c>
      <c r="B115" s="309" t="str">
        <f>VLOOKUP(A115,'2.1.Atributos MGGTI'!$A$6:$F$207,3,0)</f>
        <v>Habilitación de capacidades institucionales con Sistemas de información</v>
      </c>
      <c r="C115" s="310">
        <f>VLOOKUP(A115,'2.1.Atributos MGGTI'!$A$6:$F$207,5,0)</f>
        <v>4</v>
      </c>
      <c r="D115" s="309" t="str">
        <f>VLOOKUP(A115,'2.1.Atributos MGGTI'!$A$6:$D$207,4,0)</f>
        <v>Los Sistemas de Información contribuyen como factor diferenciador al logro de las metas estratégicas de la entidad y al mejoramiento de los procesos y actividades de apoyo administrativo, misionales y de Direccionamiento de las áreas.</v>
      </c>
      <c r="E115" s="309" t="str">
        <f>VLOOKUP(A115,'2.1.Atributos MGGTI'!$A$6:$F$207,6,0)</f>
        <v xml:space="preserve">Sistemas de información </v>
      </c>
      <c r="F115" s="196">
        <v>1</v>
      </c>
      <c r="G115" s="264"/>
      <c r="H115" s="264"/>
    </row>
    <row r="116" spans="1:8" ht="60" customHeight="1" x14ac:dyDescent="0.2">
      <c r="A116" s="308">
        <v>111</v>
      </c>
      <c r="B116" s="309" t="str">
        <f>VLOOKUP(A116,'2.1.Atributos MGGTI'!$A$6:$F$207,3,0)</f>
        <v>Habilitación de capacidades institucionales con Sistemas de información</v>
      </c>
      <c r="C116" s="310">
        <f>VLOOKUP(A116,'2.1.Atributos MGGTI'!$A$6:$F$207,5,0)</f>
        <v>5</v>
      </c>
      <c r="D116" s="309" t="str">
        <f>VLOOKUP(A116,'2.1.Atributos MGGTI'!$A$6:$D$207,4,0)</f>
        <v>Los Sistemas de Información contribuyen como un factor transformador al mejoramiento de los procesos y actividades de apoyo administrativo, misionales y de Direccionamiento del modelo integrado de gestión de la entidad y facilitan a la articulación con actores externos.</v>
      </c>
      <c r="E116" s="309" t="str">
        <f>VLOOKUP(A116,'2.1.Atributos MGGTI'!$A$6:$F$207,6,0)</f>
        <v xml:space="preserve">Sistemas de información </v>
      </c>
      <c r="F116" s="196">
        <v>1</v>
      </c>
      <c r="G116" s="264"/>
      <c r="H116" s="264"/>
    </row>
    <row r="117" spans="1:8" ht="60" customHeight="1" x14ac:dyDescent="0.2">
      <c r="A117" s="308">
        <v>112</v>
      </c>
      <c r="B117" s="309" t="str">
        <f>VLOOKUP(A117,'2.1.Atributos MGGTI'!$A$6:$F$207,3,0)</f>
        <v>Catálogo de sistemas de información</v>
      </c>
      <c r="C117" s="310">
        <f>VLOOKUP(A117,'2.1.Atributos MGGTI'!$A$6:$F$207,5,0)</f>
        <v>3</v>
      </c>
      <c r="D117" s="309" t="str">
        <f>VLOOKUP(A117,'2.1.Atributos MGGTI'!$A$6:$D$207,4,0)</f>
        <v>Existe y  se mantiene actualizado un catálogo de sistemas de información con su caracterización mediante atributos que permiten identificar información relevante para la gobernabilidad y gestión de los mismos.</v>
      </c>
      <c r="E117" s="309" t="str">
        <f>VLOOKUP(A117,'2.1.Atributos MGGTI'!$A$6:$F$207,6,0)</f>
        <v xml:space="preserve">Sistemas de información </v>
      </c>
      <c r="F117" s="196">
        <v>1</v>
      </c>
      <c r="G117" s="264"/>
      <c r="H117" s="264"/>
    </row>
    <row r="118" spans="1:8" ht="60" customHeight="1" x14ac:dyDescent="0.2">
      <c r="A118" s="308">
        <v>113</v>
      </c>
      <c r="B118" s="309" t="str">
        <f>VLOOKUP(A118,'2.1.Atributos MGGTI'!$A$6:$F$207,3,0)</f>
        <v>Catálogo de sistemas de información</v>
      </c>
      <c r="C118" s="310">
        <f>VLOOKUP(A118,'2.1.Atributos MGGTI'!$A$6:$F$207,5,0)</f>
        <v>4</v>
      </c>
      <c r="D118" s="309" t="str">
        <f>VLOOKUP(A118,'2.1.Atributos MGGTI'!$A$6:$D$207,4,0)</f>
        <v>El catálogo con la caracterización de los  sistemas de información integra las definiciones realizadas en el dominio de Arquitectura de Sistemas de Información resultado del desarrollo de ejercicios de Arquitectura Empresarial.</v>
      </c>
      <c r="E118" s="309" t="str">
        <f>VLOOKUP(A118,'2.1.Atributos MGGTI'!$A$6:$F$207,6,0)</f>
        <v xml:space="preserve">Sistemas de información </v>
      </c>
      <c r="F118" s="196">
        <v>1</v>
      </c>
      <c r="G118" s="264"/>
      <c r="H118" s="264"/>
    </row>
    <row r="119" spans="1:8" ht="60" customHeight="1" x14ac:dyDescent="0.2">
      <c r="A119" s="308">
        <v>114</v>
      </c>
      <c r="B119" s="309" t="str">
        <f>VLOOKUP(A119,'2.1.Atributos MGGTI'!$A$6:$F$207,3,0)</f>
        <v>Gestión de requerimientos</v>
      </c>
      <c r="C119" s="310">
        <f>VLOOKUP(A119,'2.1.Atributos MGGTI'!$A$6:$F$207,5,0)</f>
        <v>3</v>
      </c>
      <c r="D119" s="309" t="str">
        <f>VLOOKUP(A119,'2.1.Atributos MGGTI'!$A$6:$D$207,4,0)</f>
        <v>Existen e implementa mecanismos o procedimientos sistemáticos para y gestión de requerimientos de desarrollo de software en el ciclo de vida de los sistemas de información de manera que se garantice su trazabilidad y cumplimiento.</v>
      </c>
      <c r="E119" s="309" t="str">
        <f>VLOOKUP(A119,'2.1.Atributos MGGTI'!$A$6:$F$207,6,0)</f>
        <v xml:space="preserve">Sistemas de información </v>
      </c>
      <c r="F119" s="196">
        <v>1</v>
      </c>
      <c r="G119" s="264"/>
      <c r="H119" s="264"/>
    </row>
    <row r="120" spans="1:8" ht="60" customHeight="1" x14ac:dyDescent="0.2">
      <c r="A120" s="308">
        <v>115</v>
      </c>
      <c r="B120" s="309" t="str">
        <f>VLOOKUP(A120,'2.1.Atributos MGGTI'!$A$6:$F$207,3,0)</f>
        <v>Gestión de requerimientos</v>
      </c>
      <c r="C120" s="310">
        <f>VLOOKUP(A120,'2.1.Atributos MGGTI'!$A$6:$F$207,5,0)</f>
        <v>4</v>
      </c>
      <c r="D120" s="309" t="str">
        <f>VLOOKUP(A120,'2.1.Atributos MGGTI'!$A$6:$D$207,4,0)</f>
        <v xml:space="preserve">El detalle, definición y aprobación de requerimientos de desarrollo de software se realiza a partir del establecimiento previo de acuerdos de desarrollo de servicios y capacidades de TI. </v>
      </c>
      <c r="E120" s="309" t="str">
        <f>VLOOKUP(A120,'2.1.Atributos MGGTI'!$A$6:$F$207,6,0)</f>
        <v xml:space="preserve">Sistemas de información </v>
      </c>
      <c r="F120" s="196">
        <v>1</v>
      </c>
      <c r="G120" s="264"/>
      <c r="H120" s="264"/>
    </row>
    <row r="121" spans="1:8" ht="60" customHeight="1" x14ac:dyDescent="0.2">
      <c r="A121" s="308">
        <v>116</v>
      </c>
      <c r="B121" s="309" t="str">
        <f>VLOOKUP(A121,'2.1.Atributos MGGTI'!$A$6:$F$207,3,0)</f>
        <v>Gestión de requerimientos</v>
      </c>
      <c r="C121" s="310">
        <f>VLOOKUP(A121,'2.1.Atributos MGGTI'!$A$6:$F$207,5,0)</f>
        <v>4</v>
      </c>
      <c r="D121" s="309" t="str">
        <f>VLOOKUP(A121,'2.1.Atributos MGGTI'!$A$6:$D$207,4,0)</f>
        <v xml:space="preserve">En el diseño de los sistemas de información existe e implementa mecanismos o procedimientos sistemáticos para identificar los requerimientos no funcionales aplicables y que responden a los atributos de calidad, lineamientos y principios definidos desde la arquitectura de sistemas de información. </v>
      </c>
      <c r="E121" s="309" t="str">
        <f>VLOOKUP(A121,'2.1.Atributos MGGTI'!$A$6:$F$207,6,0)</f>
        <v xml:space="preserve">Sistemas de información </v>
      </c>
      <c r="F121" s="196">
        <v>1</v>
      </c>
      <c r="G121" s="264"/>
      <c r="H121" s="264"/>
    </row>
    <row r="122" spans="1:8" ht="60" customHeight="1" x14ac:dyDescent="0.2">
      <c r="A122" s="308">
        <v>117</v>
      </c>
      <c r="B122" s="309" t="str">
        <f>VLOOKUP(A122,'2.1.Atributos MGGTI'!$A$6:$F$207,3,0)</f>
        <v>Requerimientos no funcionales</v>
      </c>
      <c r="C122" s="310">
        <f>VLOOKUP(A122,'2.1.Atributos MGGTI'!$A$6:$F$207,5,0)</f>
        <v>3</v>
      </c>
      <c r="D122" s="309" t="str">
        <f>VLOOKUP(A122,'2.1.Atributos MGGTI'!$A$6:$D$207,4,0)</f>
        <v>En el diseño de los sistemas de información se identifican los requerimientos técnicos no funcionales asociados a atributos de calidad establecidos según  la necesidad y criticidad de cada sistema de información.</v>
      </c>
      <c r="E122" s="309" t="str">
        <f>VLOOKUP(A122,'2.1.Atributos MGGTI'!$A$6:$F$207,6,0)</f>
        <v xml:space="preserve">Sistemas de información </v>
      </c>
      <c r="F122" s="196">
        <v>1</v>
      </c>
      <c r="G122" s="264"/>
      <c r="H122" s="264"/>
    </row>
    <row r="123" spans="1:8" ht="60" customHeight="1" x14ac:dyDescent="0.2">
      <c r="A123" s="308">
        <v>118</v>
      </c>
      <c r="B123" s="309" t="str">
        <f>VLOOKUP(A123,'2.1.Atributos MGGTI'!$A$6:$F$207,3,0)</f>
        <v>Requerimientos no funcionales</v>
      </c>
      <c r="C123" s="310">
        <f>VLOOKUP(A123,'2.1.Atributos MGGTI'!$A$6:$F$207,5,0)</f>
        <v>4</v>
      </c>
      <c r="D123" s="309" t="str">
        <f>VLOOKUP(A123,'2.1.Atributos MGGTI'!$A$6:$D$207,4,0)</f>
        <v xml:space="preserve">En el diseño de los sistemas de información se implementa un mecanismo o procedimiento para identificar los requerimientos técnicos no funcionales aplicables y que se encuentran asociados a los atributos de calidad definidos en el plan integral de calidad de los sistemas de información. </v>
      </c>
      <c r="E123" s="309" t="str">
        <f>VLOOKUP(A123,'2.1.Atributos MGGTI'!$A$6:$F$207,6,0)</f>
        <v xml:space="preserve">Sistemas de información </v>
      </c>
      <c r="F123" s="196">
        <v>1</v>
      </c>
      <c r="G123" s="264"/>
      <c r="H123" s="264"/>
    </row>
    <row r="124" spans="1:8" ht="60" customHeight="1" x14ac:dyDescent="0.2">
      <c r="A124" s="308">
        <v>119</v>
      </c>
      <c r="B124" s="309" t="str">
        <f>VLOOKUP(A124,'2.1.Atributos MGGTI'!$A$6:$F$207,3,0)</f>
        <v>Trazabilidad y auditoria</v>
      </c>
      <c r="C124" s="310">
        <f>VLOOKUP(A124,'2.1.Atributos MGGTI'!$A$6:$F$207,5,0)</f>
        <v>4</v>
      </c>
      <c r="D124" s="309" t="str">
        <f>VLOOKUP(A124,'2.1.Atributos MGGTI'!$A$6:$D$207,4,0)</f>
        <v>Los Sistemas de Información cuentan con estructuras estandarizadas de registro de mensajes, aspectos de almacenamiento, seguridad y consideraciones adicionales respecto a la gestión de la trazabilidad y auditoria de las transacciones o acciones de creación, actualización, modificación o borrado de información para los sistemas clasificados de acuerdo a su criticidad y relevancia para los procesos de la entidad.</v>
      </c>
      <c r="E124" s="309" t="str">
        <f>VLOOKUP(A124,'2.1.Atributos MGGTI'!$A$6:$F$207,6,0)</f>
        <v xml:space="preserve">Sistemas de información </v>
      </c>
      <c r="F124" s="196">
        <v>1</v>
      </c>
      <c r="G124" s="264"/>
      <c r="H124" s="264"/>
    </row>
    <row r="125" spans="1:8" ht="60" customHeight="1" x14ac:dyDescent="0.2">
      <c r="A125" s="308">
        <v>120</v>
      </c>
      <c r="B125" s="309" t="str">
        <f>VLOOKUP(A125,'2.1.Atributos MGGTI'!$A$6:$F$207,3,0)</f>
        <v>Trazabilidad y auditoria</v>
      </c>
      <c r="C125" s="310">
        <f>VLOOKUP(A125,'2.1.Atributos MGGTI'!$A$6:$F$207,5,0)</f>
        <v>3</v>
      </c>
      <c r="D125" s="309" t="str">
        <f>VLOOKUP(A125,'2.1.Atributos MGGTI'!$A$6:$D$207,4,0)</f>
        <v xml:space="preserve">Los sistemas de información de misión crítica cuentan con estructuras que faciitan la trazabilidad y auditoria </v>
      </c>
      <c r="E125" s="309" t="str">
        <f>VLOOKUP(A125,'2.1.Atributos MGGTI'!$A$6:$F$207,6,0)</f>
        <v xml:space="preserve">Sistemas de información </v>
      </c>
      <c r="F125" s="196">
        <v>1</v>
      </c>
      <c r="G125" s="264"/>
      <c r="H125" s="264"/>
    </row>
    <row r="126" spans="1:8" ht="60" customHeight="1" x14ac:dyDescent="0.2">
      <c r="A126" s="308">
        <v>121</v>
      </c>
      <c r="B126" s="309" t="str">
        <f>VLOOKUP(A126,'2.1.Atributos MGGTI'!$A$6:$F$207,3,0)</f>
        <v>Ambientes independientes</v>
      </c>
      <c r="C126" s="310">
        <f>VLOOKUP(A126,'2.1.Atributos MGGTI'!$A$6:$F$207,5,0)</f>
        <v>2</v>
      </c>
      <c r="D126" s="309" t="str">
        <f>VLOOKUP(A126,'2.1.Atributos MGGTI'!$A$6:$D$207,4,0)</f>
        <v>Para soportar el ciclo de vida de los Sistemas de información se contempla dos ambientes independientes; desarrollo y producción.</v>
      </c>
      <c r="E126" s="309" t="str">
        <f>VLOOKUP(A126,'2.1.Atributos MGGTI'!$A$6:$F$207,6,0)</f>
        <v xml:space="preserve">Sistemas de información </v>
      </c>
      <c r="F126" s="196">
        <v>1</v>
      </c>
      <c r="G126" s="264"/>
      <c r="H126" s="264"/>
    </row>
    <row r="127" spans="1:8" ht="60" customHeight="1" x14ac:dyDescent="0.2">
      <c r="A127" s="308">
        <v>122</v>
      </c>
      <c r="B127" s="309" t="str">
        <f>VLOOKUP(A127,'2.1.Atributos MGGTI'!$A$6:$F$207,3,0)</f>
        <v>Ambientes independientes</v>
      </c>
      <c r="C127" s="310">
        <f>VLOOKUP(A127,'2.1.Atributos MGGTI'!$A$6:$F$207,5,0)</f>
        <v>3</v>
      </c>
      <c r="D127" s="309" t="str">
        <f>VLOOKUP(A127,'2.1.Atributos MGGTI'!$A$6:$D$207,4,0)</f>
        <v>Para soportar el ciclo de vida de los Sistemas de información se contempla como mínimo 3 ambientes independientes: desarrollo, calidad y producción.</v>
      </c>
      <c r="E127" s="309" t="str">
        <f>VLOOKUP(A127,'2.1.Atributos MGGTI'!$A$6:$F$207,6,0)</f>
        <v xml:space="preserve">Sistemas de información </v>
      </c>
      <c r="F127" s="196">
        <v>1</v>
      </c>
      <c r="G127" s="264"/>
      <c r="H127" s="264"/>
    </row>
    <row r="128" spans="1:8" ht="60" customHeight="1" x14ac:dyDescent="0.2">
      <c r="A128" s="308">
        <v>123</v>
      </c>
      <c r="B128" s="309" t="str">
        <f>VLOOKUP(A128,'2.1.Atributos MGGTI'!$A$6:$F$207,3,0)</f>
        <v xml:space="preserve">Guía de estilo y usabilidad </v>
      </c>
      <c r="C128" s="310">
        <f>VLOOKUP(A128,'2.1.Atributos MGGTI'!$A$6:$F$207,5,0)</f>
        <v>3</v>
      </c>
      <c r="D128" s="309" t="str">
        <f>VLOOKUP(A128,'2.1.Atributos MGGTI'!$A$6:$D$207,4,0)</f>
        <v>Desde la gestión de TI se ha definido una guía de estilo y  usabilidad que se aplica de manera estandarizada en el desarrollo de los sistemas de  información de la entidad buscando homogenizar y facilitar la experiencia del usuario.</v>
      </c>
      <c r="E128" s="309" t="str">
        <f>VLOOKUP(A128,'2.1.Atributos MGGTI'!$A$6:$F$207,6,0)</f>
        <v xml:space="preserve">Sistemas de información </v>
      </c>
      <c r="F128" s="196">
        <v>1</v>
      </c>
      <c r="G128" s="264"/>
      <c r="H128" s="264"/>
    </row>
    <row r="129" spans="1:8" ht="60" customHeight="1" x14ac:dyDescent="0.2">
      <c r="A129" s="308">
        <v>124</v>
      </c>
      <c r="B129" s="309" t="str">
        <f>VLOOKUP(A129,'2.1.Atributos MGGTI'!$A$6:$F$207,3,0)</f>
        <v xml:space="preserve">Guía de estilo y usabilidad </v>
      </c>
      <c r="C129" s="310">
        <f>VLOOKUP(A129,'2.1.Atributos MGGTI'!$A$6:$F$207,5,0)</f>
        <v>4</v>
      </c>
      <c r="D129" s="309" t="str">
        <f>VLOOKUP(A129,'2.1.Atributos MGGTI'!$A$6:$D$207,4,0)</f>
        <v xml:space="preserve">La guía de estilo y usabilidad para el desarrollo de los sistemas de información de la entidad, se define teniendo en cuenta los lineamientos de comunicación y usabilidad de la entidad y del Estado Colombiano, aplicando estandares internacionales, y determinando las excepciones y su manejo. </v>
      </c>
      <c r="E129" s="309" t="str">
        <f>VLOOKUP(A129,'2.1.Atributos MGGTI'!$A$6:$F$207,6,0)</f>
        <v xml:space="preserve">Sistemas de información </v>
      </c>
      <c r="F129" s="196">
        <v>1</v>
      </c>
      <c r="G129" s="264"/>
      <c r="H129" s="264"/>
    </row>
    <row r="130" spans="1:8" ht="60" customHeight="1" x14ac:dyDescent="0.2">
      <c r="A130" s="308">
        <v>125</v>
      </c>
      <c r="B130" s="309" t="str">
        <f>VLOOKUP(A130,'2.1.Atributos MGGTI'!$A$6:$F$207,3,0)</f>
        <v>Accesibilidad</v>
      </c>
      <c r="C130" s="310">
        <f>VLOOKUP(A130,'2.1.Atributos MGGTI'!$A$6:$F$207,5,0)</f>
        <v>3</v>
      </c>
      <c r="D130" s="309" t="str">
        <f>VLOOKUP(A130,'2.1.Atributos MGGTI'!$A$6:$D$207,4,0)</f>
        <v>En el diseño y desarrollo de los sistemas de información se aplican criterios de accesibilidad para desarrollar funcionalidades  de accebilidad de acuerdo con las necesidades de los grupos de interés.</v>
      </c>
      <c r="E130" s="309" t="str">
        <f>VLOOKUP(A130,'2.1.Atributos MGGTI'!$A$6:$F$207,6,0)</f>
        <v xml:space="preserve">Sistemas de información </v>
      </c>
      <c r="F130" s="196">
        <v>1</v>
      </c>
      <c r="G130" s="264"/>
      <c r="H130" s="264"/>
    </row>
    <row r="131" spans="1:8" ht="60" customHeight="1" x14ac:dyDescent="0.2">
      <c r="A131" s="308">
        <v>126</v>
      </c>
      <c r="B131" s="309" t="str">
        <f>VLOOKUP(A131,'2.1.Atributos MGGTI'!$A$6:$F$207,3,0)</f>
        <v>Accesibilidad</v>
      </c>
      <c r="C131" s="310">
        <f>VLOOKUP(A131,'2.1.Atributos MGGTI'!$A$6:$F$207,5,0)</f>
        <v>4</v>
      </c>
      <c r="D131" s="309" t="str">
        <f>VLOOKUP(A131,'2.1.Atributos MGGTI'!$A$6:$D$207,4,0)</f>
        <v>Se ha definido e implementado un mecanismo sistemático para establecer y aplicar criterios de accesibilidad en el diseño y desarrollo de los sistemas de información de la entidad teniendo en cuenta los lineamientos del Estado Colombiano en esta materia y estándares internacionales.</v>
      </c>
      <c r="E131" s="309" t="str">
        <f>VLOOKUP(A131,'2.1.Atributos MGGTI'!$A$6:$F$207,6,0)</f>
        <v xml:space="preserve">Sistemas de información </v>
      </c>
      <c r="F131" s="196">
        <v>1</v>
      </c>
      <c r="G131" s="264"/>
      <c r="H131" s="264"/>
    </row>
    <row r="132" spans="1:8" ht="60" customHeight="1" x14ac:dyDescent="0.2">
      <c r="A132" s="308">
        <v>127</v>
      </c>
      <c r="B132" s="309" t="str">
        <f>VLOOKUP(A132,'2.1.Atributos MGGTI'!$A$6:$F$207,3,0)</f>
        <v>Metodología de referencia</v>
      </c>
      <c r="C132" s="310">
        <f>VLOOKUP(A132,'2.1.Atributos MGGTI'!$A$6:$F$207,5,0)</f>
        <v>4</v>
      </c>
      <c r="D132" s="309" t="str">
        <f>VLOOKUP(A132,'2.1.Atributos MGGTI'!$A$6:$D$207,4,0)</f>
        <v xml:space="preserve">Aplica y personaliza mejores prácticas para el desarrollo y mantenimiento de software de la industria en la definición de las metodologías de referencia que se utilizan en la construcción y evolución de los sistemas de información de la entidad. </v>
      </c>
      <c r="E132" s="309" t="str">
        <f>VLOOKUP(A132,'2.1.Atributos MGGTI'!$A$6:$F$207,6,0)</f>
        <v xml:space="preserve">Sistemas de información </v>
      </c>
      <c r="F132" s="196">
        <v>1</v>
      </c>
      <c r="G132" s="264"/>
      <c r="H132" s="264"/>
    </row>
    <row r="133" spans="1:8" ht="60" customHeight="1" x14ac:dyDescent="0.2">
      <c r="A133" s="308">
        <v>128</v>
      </c>
      <c r="B133" s="309" t="str">
        <f>VLOOKUP(A133,'2.1.Atributos MGGTI'!$A$6:$F$207,3,0)</f>
        <v>Metodología de referencia</v>
      </c>
      <c r="C133" s="310">
        <f>VLOOKUP(A133,'2.1.Atributos MGGTI'!$A$6:$F$207,5,0)</f>
        <v>3</v>
      </c>
      <c r="D133" s="309" t="str">
        <f>VLOOKUP(A133,'2.1.Atributos MGGTI'!$A$6:$D$207,4,0)</f>
        <v>Existen y se aplican lineamientos para la adopción de metodologías de referencia para el desarrollo y mantenimiento de software que orientan los proyectos de construcción o evolución de los sistemas de información, ya sea internamente o a través de terceros.</v>
      </c>
      <c r="E133" s="309" t="str">
        <f>VLOOKUP(A133,'2.1.Atributos MGGTI'!$A$6:$F$207,6,0)</f>
        <v xml:space="preserve">Sistemas de información </v>
      </c>
      <c r="F133" s="196">
        <v>1</v>
      </c>
      <c r="G133" s="264"/>
      <c r="H133" s="264"/>
    </row>
    <row r="134" spans="1:8" ht="60" customHeight="1" x14ac:dyDescent="0.2">
      <c r="A134" s="308">
        <v>129</v>
      </c>
      <c r="B134" s="309" t="str">
        <f>VLOOKUP(A134,'2.1.Atributos MGGTI'!$A$6:$F$207,3,0)</f>
        <v>Integración continua</v>
      </c>
      <c r="C134" s="310">
        <f>VLOOKUP(A134,'2.1.Atributos MGGTI'!$A$6:$F$207,5,0)</f>
        <v>3</v>
      </c>
      <c r="D134" s="309" t="str">
        <f>VLOOKUP(A134,'2.1.Atributos MGGTI'!$A$6:$D$207,4,0)</f>
        <v>Dentro del proceso para la gestión integral y gobierno del ciclo de vida de los sistemas de información de la entidad, se ha definido e implementado una estrategia o procedimiento de integración continúa que oriente las actividades de desarrollo de elementos de software durante la construcción y evolución de los sistemas de información.</v>
      </c>
      <c r="E134" s="309" t="str">
        <f>VLOOKUP(A134,'2.1.Atributos MGGTI'!$A$6:$F$207,6,0)</f>
        <v xml:space="preserve">Sistemas de información </v>
      </c>
      <c r="F134" s="196">
        <v>1</v>
      </c>
      <c r="G134" s="264"/>
      <c r="H134" s="264"/>
    </row>
    <row r="135" spans="1:8" ht="60" customHeight="1" x14ac:dyDescent="0.2">
      <c r="A135" s="308">
        <v>130</v>
      </c>
      <c r="B135" s="309" t="str">
        <f>VLOOKUP(A135,'2.1.Atributos MGGTI'!$A$6:$F$207,3,0)</f>
        <v>Entrega continua</v>
      </c>
      <c r="C135" s="310">
        <f>VLOOKUP(A135,'2.1.Atributos MGGTI'!$A$6:$F$207,5,0)</f>
        <v>3</v>
      </c>
      <c r="D135" s="309" t="str">
        <f>VLOOKUP(A135,'2.1.Atributos MGGTI'!$A$6:$D$207,4,0)</f>
        <v xml:space="preserve">Dentro del proceso para la gestión integral y gobierno del ciclo de vida de los sistemas de información de la entidad, se ha definido e implementado una estrategia o procedimiento de entrega continúa que oriente las actividades de entrega a la operación de los componentes de software que se desarrollan. Este procedimiento está articulado con la gestión de la entrega de los servicios de TI. </v>
      </c>
      <c r="E135" s="309" t="str">
        <f>VLOOKUP(A135,'2.1.Atributos MGGTI'!$A$6:$F$207,6,0)</f>
        <v xml:space="preserve">Sistemas de información </v>
      </c>
      <c r="F135" s="196">
        <v>1</v>
      </c>
      <c r="G135" s="264"/>
      <c r="H135" s="264"/>
    </row>
    <row r="136" spans="1:8" ht="60" customHeight="1" x14ac:dyDescent="0.2">
      <c r="A136" s="308">
        <v>131</v>
      </c>
      <c r="B136" s="309" t="str">
        <f>VLOOKUP(A136,'2.1.Atributos MGGTI'!$A$6:$F$207,3,0)</f>
        <v>Despliegue continuo</v>
      </c>
      <c r="C136" s="310">
        <f>VLOOKUP(A136,'2.1.Atributos MGGTI'!$A$6:$F$207,5,0)</f>
        <v>3</v>
      </c>
      <c r="D136" s="309" t="str">
        <f>VLOOKUP(A136,'2.1.Atributos MGGTI'!$A$6:$D$207,4,0)</f>
        <v>Dentro del proceso para la gestión integral y gobierno del ciclo de vida de los sistemas de información de la entidad, se ha definido e implementado una estrategia o procedimiento de despliegue continúo articulado  con la gestión de la entrega de los servicios de TI para la puesta en producción/operación de los componentes de software desarrollados.</v>
      </c>
      <c r="E136" s="309" t="str">
        <f>VLOOKUP(A136,'2.1.Atributos MGGTI'!$A$6:$F$207,6,0)</f>
        <v xml:space="preserve">Sistemas de información </v>
      </c>
      <c r="F136" s="196">
        <v>1</v>
      </c>
      <c r="G136" s="264"/>
      <c r="H136" s="264"/>
    </row>
    <row r="137" spans="1:8" ht="60" customHeight="1" x14ac:dyDescent="0.2">
      <c r="A137" s="308">
        <v>132</v>
      </c>
      <c r="B137" s="309" t="str">
        <f>VLOOKUP(A137,'2.1.Atributos MGGTI'!$A$6:$F$207,3,0)</f>
        <v>Gestión del cambio en los SI</v>
      </c>
      <c r="C137" s="310">
        <f>VLOOKUP(A137,'2.1.Atributos MGGTI'!$A$6:$F$207,5,0)</f>
        <v>2</v>
      </c>
      <c r="D137" s="309" t="str">
        <f>VLOOKUP(A137,'2.1.Atributos MGGTI'!$A$6:$D$207,4,0)</f>
        <v xml:space="preserve">Existe un procedimiento o mecanismo de gestion de cambios sobre los componentes de software  para realizar el mantenimiento y actualización de los sistemas de información. </v>
      </c>
      <c r="E137" s="309" t="str">
        <f>VLOOKUP(A137,'2.1.Atributos MGGTI'!$A$6:$F$207,6,0)</f>
        <v xml:space="preserve">Sistemas de información </v>
      </c>
      <c r="F137" s="196">
        <v>1</v>
      </c>
      <c r="G137" s="264"/>
      <c r="H137" s="264"/>
    </row>
    <row r="138" spans="1:8" ht="60" customHeight="1" x14ac:dyDescent="0.2">
      <c r="A138" s="308">
        <v>133</v>
      </c>
      <c r="B138" s="309" t="str">
        <f>VLOOKUP(A138,'2.1.Atributos MGGTI'!$A$6:$F$207,3,0)</f>
        <v>Gestión del cambio en los SI</v>
      </c>
      <c r="C138" s="310">
        <f>VLOOKUP(A138,'2.1.Atributos MGGTI'!$A$6:$F$207,5,0)</f>
        <v>3</v>
      </c>
      <c r="D138" s="309" t="str">
        <f>VLOOKUP(A138,'2.1.Atributos MGGTI'!$A$6:$D$207,4,0)</f>
        <v>El procedimiento de gestión de cambios sobre los componentes de software del sistema de información se implementa de manera sistemática. Este procedimiento incluye el analisis de impacto del cambio a nivel funcional y técnico, con el fin de determinar la viabilidad  y las acciones a seguir y  está articulado con la gestión de cambios de los servicios de TI.</v>
      </c>
      <c r="E138" s="309" t="str">
        <f>VLOOKUP(A138,'2.1.Atributos MGGTI'!$A$6:$F$207,6,0)</f>
        <v xml:space="preserve">Sistemas de información </v>
      </c>
      <c r="F138" s="196">
        <v>1</v>
      </c>
      <c r="G138" s="264"/>
      <c r="H138" s="264"/>
    </row>
    <row r="139" spans="1:8" ht="60" customHeight="1" x14ac:dyDescent="0.2">
      <c r="A139" s="308">
        <v>134</v>
      </c>
      <c r="B139" s="309" t="str">
        <f>VLOOKUP(A139,'2.1.Atributos MGGTI'!$A$6:$F$207,3,0)</f>
        <v>Documentación del SI</v>
      </c>
      <c r="C139" s="310">
        <f>VLOOKUP(A139,'2.1.Atributos MGGTI'!$A$6:$F$207,5,0)</f>
        <v>4</v>
      </c>
      <c r="D139" s="309" t="str">
        <f>VLOOKUP(A139,'2.1.Atributos MGGTI'!$A$6:$D$207,4,0)</f>
        <v>Existe un mecanismo estandarizado para gestionar el versionamiento, la documentación técnica y funcional de los sistemas de información.</v>
      </c>
      <c r="E139" s="309" t="str">
        <f>VLOOKUP(A139,'2.1.Atributos MGGTI'!$A$6:$F$207,6,0)</f>
        <v xml:space="preserve">Sistemas de información </v>
      </c>
      <c r="F139" s="196">
        <v>1</v>
      </c>
      <c r="G139" s="264"/>
      <c r="H139" s="264"/>
    </row>
    <row r="140" spans="1:8" ht="60" customHeight="1" x14ac:dyDescent="0.2">
      <c r="A140" s="308">
        <v>135</v>
      </c>
      <c r="B140" s="309" t="str">
        <f>VLOOKUP(A140,'2.1.Atributos MGGTI'!$A$6:$F$207,3,0)</f>
        <v>Documentación del SI</v>
      </c>
      <c r="C140" s="310">
        <f>VLOOKUP(A140,'2.1.Atributos MGGTI'!$A$6:$F$207,5,0)</f>
        <v>3</v>
      </c>
      <c r="D140" s="309" t="str">
        <f>VLOOKUP(A140,'2.1.Atributos MGGTI'!$A$6:$D$207,4,0)</f>
        <v>Todos los sistemas de información cuentan con información técnica y funcional actualizada</v>
      </c>
      <c r="E140" s="309" t="str">
        <f>VLOOKUP(A140,'2.1.Atributos MGGTI'!$A$6:$F$207,6,0)</f>
        <v xml:space="preserve">Sistemas de información </v>
      </c>
      <c r="F140" s="196">
        <v>1</v>
      </c>
      <c r="G140" s="264"/>
      <c r="H140" s="264"/>
    </row>
    <row r="141" spans="1:8" ht="60" customHeight="1" x14ac:dyDescent="0.2">
      <c r="A141" s="308">
        <v>136</v>
      </c>
      <c r="B141" s="309" t="str">
        <f>VLOOKUP(A141,'2.1.Atributos MGGTI'!$A$6:$F$207,3,0)</f>
        <v>Plan de aseguramiento de la calidad de los SI</v>
      </c>
      <c r="C141" s="310">
        <f>VLOOKUP(A141,'2.1.Atributos MGGTI'!$A$6:$F$207,5,0)</f>
        <v>3</v>
      </c>
      <c r="D141" s="309" t="str">
        <f>VLOOKUP(A141,'2.1.Atributos MGGTI'!$A$6:$D$207,4,0)</f>
        <v xml:space="preserve">Para asegurar la calidad de los componentes de software en los procedimientos de desarrollo, entrega, despliegue y puesta en operación de los sistemas de información, existe y se implementa un mecanismo o procedimiento para definir y ejecutar el plan de pruebas incluyendo aspectos funcionales y no funcionales. </v>
      </c>
      <c r="E141" s="309" t="str">
        <f>VLOOKUP(A141,'2.1.Atributos MGGTI'!$A$6:$F$207,6,0)</f>
        <v xml:space="preserve">Sistemas de información </v>
      </c>
      <c r="F141" s="196">
        <v>1</v>
      </c>
      <c r="G141" s="264"/>
      <c r="H141" s="264"/>
    </row>
    <row r="142" spans="1:8" ht="60" customHeight="1" x14ac:dyDescent="0.2">
      <c r="A142" s="308">
        <v>137</v>
      </c>
      <c r="B142" s="309" t="str">
        <f>VLOOKUP(A142,'2.1.Atributos MGGTI'!$A$6:$F$207,3,0)</f>
        <v>Plan de aseguramiento de la calidad de los SI</v>
      </c>
      <c r="C142" s="310">
        <f>VLOOKUP(A142,'2.1.Atributos MGGTI'!$A$6:$F$207,5,0)</f>
        <v>2</v>
      </c>
      <c r="D142" s="309" t="str">
        <f>VLOOKUP(A142,'2.1.Atributos MGGTI'!$A$6:$D$207,4,0)</f>
        <v>Se definen e implementan planes de prueba para asegurar la calidad de los componentes de software de los sistemas de información de la entidad.</v>
      </c>
      <c r="E142" s="309" t="str">
        <f>VLOOKUP(A142,'2.1.Atributos MGGTI'!$A$6:$F$207,6,0)</f>
        <v xml:space="preserve">Sistemas de información </v>
      </c>
      <c r="F142" s="196">
        <v>1</v>
      </c>
      <c r="G142" s="264"/>
      <c r="H142" s="264"/>
    </row>
    <row r="143" spans="1:8" ht="60" customHeight="1" x14ac:dyDescent="0.2">
      <c r="A143" s="308">
        <v>138</v>
      </c>
      <c r="B143" s="309" t="str">
        <f>VLOOKUP(A143,'2.1.Atributos MGGTI'!$A$6:$F$207,3,0)</f>
        <v>Mantenimiento preventivo y correctivo de los SI</v>
      </c>
      <c r="C143" s="310">
        <f>VLOOKUP(A143,'2.1.Atributos MGGTI'!$A$6:$F$207,5,0)</f>
        <v>2</v>
      </c>
      <c r="D143" s="309" t="str">
        <f>VLOOKUP(A143,'2.1.Atributos MGGTI'!$A$6:$D$207,4,0)</f>
        <v xml:space="preserve">Se realiza mantenimiento correctivo y preventivo de los sistemas de información mediante contratos con terceros o con recurso interno de la entidad. </v>
      </c>
      <c r="E143" s="309" t="str">
        <f>VLOOKUP(A143,'2.1.Atributos MGGTI'!$A$6:$F$207,6,0)</f>
        <v xml:space="preserve">Sistemas de información </v>
      </c>
      <c r="F143" s="196">
        <v>1</v>
      </c>
      <c r="G143" s="264"/>
      <c r="H143" s="264"/>
    </row>
    <row r="144" spans="1:8" ht="60" customHeight="1" x14ac:dyDescent="0.2">
      <c r="A144" s="308">
        <v>139</v>
      </c>
      <c r="B144" s="309" t="str">
        <f>VLOOKUP(A144,'2.1.Atributos MGGTI'!$A$6:$F$207,3,0)</f>
        <v>Mantenimiento preventivo y correctivo de los SI</v>
      </c>
      <c r="C144" s="310">
        <f>VLOOKUP(A144,'2.1.Atributos MGGTI'!$A$6:$F$207,5,0)</f>
        <v>3</v>
      </c>
      <c r="D144" s="309" t="str">
        <f>VLOOKUP(A144,'2.1.Atributos MGGTI'!$A$6:$D$207,4,0)</f>
        <v xml:space="preserve">Se tiene definido e implementado un esquema estandarizado para garantizar el soporte y mantenimiento sobre  los sistemas de información de la entidad que incluye la gestión de los terceros y  tiene establecidos criterios de aceptación y Acuerdos de Nivel de Servicio (ANS) en función de los criterios de calidad establecidos en el plan integral de calidad de los sistemas de información. </v>
      </c>
      <c r="E144" s="309" t="str">
        <f>VLOOKUP(A144,'2.1.Atributos MGGTI'!$A$6:$F$207,6,0)</f>
        <v xml:space="preserve">Sistemas de información </v>
      </c>
      <c r="F144" s="196">
        <v>1</v>
      </c>
      <c r="G144" s="264"/>
      <c r="H144" s="264"/>
    </row>
    <row r="145" spans="1:8" ht="60" customHeight="1" x14ac:dyDescent="0.2">
      <c r="A145" s="308">
        <v>140</v>
      </c>
      <c r="B145" s="309" t="str">
        <f>VLOOKUP(A145,'2.1.Atributos MGGTI'!$A$6:$F$207,3,0)</f>
        <v>Catálogo de servicios de Tecnología</v>
      </c>
      <c r="C145" s="310">
        <f>VLOOKUP(A145,'2.1.Atributos MGGTI'!$A$6:$F$207,5,0)</f>
        <v>3</v>
      </c>
      <c r="D145" s="309" t="str">
        <f>VLOOKUP(A145,'2.1.Atributos MGGTI'!$A$6:$D$207,4,0)</f>
        <v>Existe y  se mantiene actualizado un catálogo de servicios de tecnológicos con su caracterización mediante atributos que permiten identificar información relevante para la gobernabilidad y gestión de los mismos.</v>
      </c>
      <c r="E145" s="309" t="str">
        <f>VLOOKUP(A145,'2.1.Atributos MGGTI'!$A$6:$F$207,6,0)</f>
        <v>Gestión de servicios de TI</v>
      </c>
      <c r="F145" s="196">
        <v>1</v>
      </c>
      <c r="G145" s="264"/>
      <c r="H145" s="264"/>
    </row>
    <row r="146" spans="1:8" ht="60" customHeight="1" x14ac:dyDescent="0.2">
      <c r="A146" s="308">
        <v>141</v>
      </c>
      <c r="B146" s="309" t="str">
        <f>VLOOKUP(A146,'2.1.Atributos MGGTI'!$A$6:$F$207,3,0)</f>
        <v>Catálogo de servicios de Tecnología</v>
      </c>
      <c r="C146" s="310">
        <f>VLOOKUP(A146,'2.1.Atributos MGGTI'!$A$6:$F$207,5,0)</f>
        <v>4</v>
      </c>
      <c r="D146" s="309" t="str">
        <f>VLOOKUP(A146,'2.1.Atributos MGGTI'!$A$6:$D$207,4,0)</f>
        <v>El catálogo con la caracterización de los  servicios de Tecnología integra las definiciones realizadas en el dominio de Arquitectura de Tecnología resultado del desarrollo de ejercicios de Arquitectura Empresarial.</v>
      </c>
      <c r="E146" s="309" t="str">
        <f>VLOOKUP(A146,'2.1.Atributos MGGTI'!$A$6:$F$207,6,0)</f>
        <v>Gestión de servicios de TI</v>
      </c>
      <c r="F146" s="196">
        <v>1</v>
      </c>
      <c r="G146" s="264"/>
      <c r="H146" s="264"/>
    </row>
    <row r="147" spans="1:8" ht="60" customHeight="1" x14ac:dyDescent="0.2">
      <c r="A147" s="308">
        <v>142</v>
      </c>
      <c r="B147" s="309" t="str">
        <f>VLOOKUP(A147,'2.1.Atributos MGGTI'!$A$6:$F$207,3,0)</f>
        <v>Proceso de gestión de los servicios de TI</v>
      </c>
      <c r="C147" s="310">
        <f>VLOOKUP(A147,'2.1.Atributos MGGTI'!$A$6:$F$207,5,0)</f>
        <v>2</v>
      </c>
      <c r="D147" s="309" t="str">
        <f>VLOOKUP(A147,'2.1.Atributos MGGTI'!$A$6:$D$207,4,0)</f>
        <v>Se ha definido el proceso para la gestión de los servicios de Tecnológicos, en cual se orientan el desarrollo de las actividades para el suministro, operación, soporte y mantenimiento de la capacidades que habilitan los servicios de TI.</v>
      </c>
      <c r="E147" s="309" t="str">
        <f>VLOOKUP(A147,'2.1.Atributos MGGTI'!$A$6:$F$207,6,0)</f>
        <v>Gestión de servicios de TI</v>
      </c>
      <c r="F147" s="196">
        <v>1</v>
      </c>
      <c r="G147" s="264"/>
      <c r="H147" s="264"/>
    </row>
    <row r="148" spans="1:8" ht="60" customHeight="1" x14ac:dyDescent="0.2">
      <c r="A148" s="308">
        <v>143</v>
      </c>
      <c r="B148" s="309" t="str">
        <f>VLOOKUP(A148,'2.1.Atributos MGGTI'!$A$6:$F$207,3,0)</f>
        <v>Proceso de gestión de los servicios de TI</v>
      </c>
      <c r="C148" s="310">
        <f>VLOOKUP(A148,'2.1.Atributos MGGTI'!$A$6:$F$207,5,0)</f>
        <v>3</v>
      </c>
      <c r="D148" s="309" t="str">
        <f>VLOOKUP(A148,'2.1.Atributos MGGTI'!$A$6:$D$207,4,0)</f>
        <v>Se ha definido e implementado el proceso para la gestión de los servicios de Tecnológicos, en cual se orientan el desarrollo de las actividades para el suministro, operación, soporte y mantenimiento de la capacidades que habilitan los servicios de TI y  se aplican mejores prácticas de la industria.</v>
      </c>
      <c r="E148" s="309" t="str">
        <f>VLOOKUP(A148,'2.1.Atributos MGGTI'!$A$6:$F$207,6,0)</f>
        <v>Gestión de servicios de TI</v>
      </c>
      <c r="F148" s="196">
        <v>1</v>
      </c>
      <c r="G148" s="264"/>
      <c r="H148" s="264"/>
    </row>
    <row r="149" spans="1:8" ht="60" customHeight="1" x14ac:dyDescent="0.2">
      <c r="A149" s="308">
        <v>144</v>
      </c>
      <c r="B149" s="309" t="str">
        <f>VLOOKUP(A149,'2.1.Atributos MGGTI'!$A$6:$F$207,3,0)</f>
        <v>Proceso de gestión de los servicios de TI</v>
      </c>
      <c r="C149" s="310">
        <f>VLOOKUP(A149,'2.1.Atributos MGGTI'!$A$6:$F$207,5,0)</f>
        <v>4</v>
      </c>
      <c r="D149" s="309" t="str">
        <f>VLOOKUP(A149,'2.1.Atributos MGGTI'!$A$6:$D$207,4,0)</f>
        <v>Se realiza seguimiento y evaluación al proceso para la gestión de servicios tecnológicos</v>
      </c>
      <c r="E149" s="309" t="str">
        <f>VLOOKUP(A149,'2.1.Atributos MGGTI'!$A$6:$F$207,6,0)</f>
        <v>Gestión de servicios de TI</v>
      </c>
      <c r="F149" s="196">
        <v>1</v>
      </c>
      <c r="G149" s="264"/>
      <c r="H149" s="264"/>
    </row>
    <row r="150" spans="1:8" ht="60" customHeight="1" x14ac:dyDescent="0.2">
      <c r="A150" s="308">
        <v>145</v>
      </c>
      <c r="B150" s="309" t="str">
        <f>VLOOKUP(A150,'2.1.Atributos MGGTI'!$A$6:$F$207,3,0)</f>
        <v>Proceso de gestión de los servicios de TI</v>
      </c>
      <c r="C150" s="310">
        <f>VLOOKUP(A150,'2.1.Atributos MGGTI'!$A$6:$F$207,5,0)</f>
        <v>5</v>
      </c>
      <c r="D150" s="309" t="str">
        <f>VLOOKUP(A150,'2.1.Atributos MGGTI'!$A$6:$D$207,4,0)</f>
        <v xml:space="preserve">Se realiza mejora continua sobre el proceso para la gestión de servicios tecnologicos </v>
      </c>
      <c r="E150" s="309" t="str">
        <f>VLOOKUP(A150,'2.1.Atributos MGGTI'!$A$6:$F$207,6,0)</f>
        <v>Gestión de servicios de TI</v>
      </c>
      <c r="F150" s="196">
        <v>1</v>
      </c>
      <c r="G150" s="264"/>
      <c r="H150" s="264"/>
    </row>
    <row r="151" spans="1:8" ht="60" customHeight="1" x14ac:dyDescent="0.2">
      <c r="A151" s="308">
        <v>146</v>
      </c>
      <c r="B151" s="309" t="str">
        <f>VLOOKUP(A151,'2.1.Atributos MGGTI'!$A$6:$F$207,3,0)</f>
        <v>Gestión de capacidad</v>
      </c>
      <c r="C151" s="310">
        <f>VLOOKUP(A151,'2.1.Atributos MGGTI'!$A$6:$F$207,5,0)</f>
        <v>4</v>
      </c>
      <c r="D151" s="309" t="str">
        <f>VLOOKUP(A151,'2.1.Atributos MGGTI'!$A$6:$D$207,4,0)</f>
        <v>Se realiza la gestión de capacidad de los servicios tecnológicos a partir de la información de la gestión de eventos y gestión de acuerdos de niveles de servicio (ANS)</v>
      </c>
      <c r="E151" s="309" t="str">
        <f>VLOOKUP(A151,'2.1.Atributos MGGTI'!$A$6:$F$207,6,0)</f>
        <v>Gestión de servicios de TI</v>
      </c>
      <c r="F151" s="196">
        <v>1</v>
      </c>
      <c r="G151" s="264"/>
      <c r="H151" s="264"/>
    </row>
    <row r="152" spans="1:8" ht="60" customHeight="1" x14ac:dyDescent="0.2">
      <c r="A152" s="308">
        <v>147</v>
      </c>
      <c r="B152" s="309" t="str">
        <f>VLOOKUP(A152,'2.1.Atributos MGGTI'!$A$6:$F$207,3,0)</f>
        <v>Gestión de capacidad</v>
      </c>
      <c r="C152" s="310">
        <f>VLOOKUP(A152,'2.1.Atributos MGGTI'!$A$6:$F$207,5,0)</f>
        <v>3</v>
      </c>
      <c r="D152" s="309" t="str">
        <f>VLOOKUP(A152,'2.1.Atributos MGGTI'!$A$6:$D$207,4,0)</f>
        <v>Se ha definido e implementado un procedimiento para gestionar las capacidades de los Servicios Tecnológicos mediante el análisis de requerimientos de desempeño y de información resultado del monitoreo de los servicios.</v>
      </c>
      <c r="E152" s="309" t="str">
        <f>VLOOKUP(A152,'2.1.Atributos MGGTI'!$A$6:$F$207,6,0)</f>
        <v>Gestión de servicios de TI</v>
      </c>
      <c r="F152" s="196">
        <v>1</v>
      </c>
      <c r="G152" s="264"/>
      <c r="H152" s="264"/>
    </row>
    <row r="153" spans="1:8" ht="60" customHeight="1" x14ac:dyDescent="0.2">
      <c r="A153" s="308">
        <v>148</v>
      </c>
      <c r="B153" s="309" t="str">
        <f>VLOOKUP(A153,'2.1.Atributos MGGTI'!$A$6:$F$207,3,0)</f>
        <v>Gestión de capacidad</v>
      </c>
      <c r="C153" s="310">
        <f>VLOOKUP(A153,'2.1.Atributos MGGTI'!$A$6:$F$207,5,0)</f>
        <v>2</v>
      </c>
      <c r="D153" s="309" t="str">
        <f>VLOOKUP(A153,'2.1.Atributos MGGTI'!$A$6:$D$207,4,0)</f>
        <v>Se cuenta con un mecanismo para identificar necesidades de capacidad sobre de los Servicios Tecnológicos,  producto de las alertas de cambio en los umbrales definidos de la capacidad ocupada</v>
      </c>
      <c r="E153" s="309" t="str">
        <f>VLOOKUP(A153,'2.1.Atributos MGGTI'!$A$6:$F$207,6,0)</f>
        <v>Gestión de servicios de TI</v>
      </c>
      <c r="F153" s="196">
        <v>1</v>
      </c>
      <c r="G153" s="264"/>
      <c r="H153" s="264"/>
    </row>
    <row r="154" spans="1:8" ht="60" customHeight="1" x14ac:dyDescent="0.2">
      <c r="A154" s="308">
        <v>149</v>
      </c>
      <c r="B154" s="309" t="str">
        <f>VLOOKUP(A154,'2.1.Atributos MGGTI'!$A$6:$F$207,3,0)</f>
        <v>Servicios en la nube</v>
      </c>
      <c r="C154" s="310">
        <f>VLOOKUP(A154,'2.1.Atributos MGGTI'!$A$6:$F$207,5,0)</f>
        <v>2</v>
      </c>
      <c r="D154" s="309" t="str">
        <f>VLOOKUP(A154,'2.1.Atributos MGGTI'!$A$6:$D$207,4,0)</f>
        <v>La prestación de servicios de ofimática y colaboración se contemplan para ser adquiridos bajo la modalidad de nube</v>
      </c>
      <c r="E154" s="309" t="str">
        <f>VLOOKUP(A154,'2.1.Atributos MGGTI'!$A$6:$F$207,6,0)</f>
        <v>Gestión de servicios de TI</v>
      </c>
      <c r="F154" s="196">
        <v>1</v>
      </c>
      <c r="G154" s="264"/>
      <c r="H154" s="264"/>
    </row>
    <row r="155" spans="1:8" ht="60" customHeight="1" x14ac:dyDescent="0.2">
      <c r="A155" s="308">
        <v>150</v>
      </c>
      <c r="B155" s="309" t="str">
        <f>VLOOKUP(A155,'2.1.Atributos MGGTI'!$A$6:$F$207,3,0)</f>
        <v>Servicios en la nube</v>
      </c>
      <c r="C155" s="310">
        <f>VLOOKUP(A155,'2.1.Atributos MGGTI'!$A$6:$F$207,5,0)</f>
        <v>3</v>
      </c>
      <c r="D155" s="309" t="str">
        <f>VLOOKUP(A155,'2.1.Atributos MGGTI'!$A$6:$D$207,4,0)</f>
        <v>La operación de algunos sistemas de información son contratados bajo la modalidad de nube</v>
      </c>
      <c r="E155" s="309" t="str">
        <f>VLOOKUP(A155,'2.1.Atributos MGGTI'!$A$6:$F$207,6,0)</f>
        <v>Gestión de servicios de TI</v>
      </c>
      <c r="F155" s="196">
        <v>1</v>
      </c>
      <c r="G155" s="264"/>
      <c r="H155" s="264"/>
    </row>
    <row r="156" spans="1:8" ht="60" customHeight="1" x14ac:dyDescent="0.2">
      <c r="A156" s="308">
        <v>151</v>
      </c>
      <c r="B156" s="309" t="str">
        <f>VLOOKUP(A156,'2.1.Atributos MGGTI'!$A$6:$F$207,3,0)</f>
        <v>Servicios en la nube</v>
      </c>
      <c r="C156" s="310">
        <f>VLOOKUP(A156,'2.1.Atributos MGGTI'!$A$6:$F$207,5,0)</f>
        <v>4</v>
      </c>
      <c r="D156" s="309" t="str">
        <f>VLOOKUP(A156,'2.1.Atributos MGGTI'!$A$6:$D$207,4,0)</f>
        <v xml:space="preserve">Existe un procedimiento formal para evaluar como primera opción la prestación de los servicios en modalidad de nube </v>
      </c>
      <c r="E156" s="309" t="str">
        <f>VLOOKUP(A156,'2.1.Atributos MGGTI'!$A$6:$F$207,6,0)</f>
        <v>Gestión de servicios de TI</v>
      </c>
      <c r="F156" s="196">
        <v>1</v>
      </c>
      <c r="G156" s="264"/>
      <c r="H156" s="264"/>
    </row>
    <row r="157" spans="1:8" ht="60" customHeight="1" x14ac:dyDescent="0.2">
      <c r="A157" s="308">
        <v>152</v>
      </c>
      <c r="B157" s="309" t="str">
        <f>VLOOKUP(A157,'2.1.Atributos MGGTI'!$A$6:$F$207,3,0)</f>
        <v>Gestión de ANS</v>
      </c>
      <c r="C157" s="310">
        <f>VLOOKUP(A157,'2.1.Atributos MGGTI'!$A$6:$F$207,5,0)</f>
        <v>2</v>
      </c>
      <c r="D157" s="309" t="str">
        <f>VLOOKUP(A157,'2.1.Atributos MGGTI'!$A$6:$D$207,4,0)</f>
        <v>El área de TI cuenta con mecanismos de definición de ANS sobre los servicios tecnológicos</v>
      </c>
      <c r="E157" s="309" t="str">
        <f>VLOOKUP(A157,'2.1.Atributos MGGTI'!$A$6:$F$207,6,0)</f>
        <v>Gestión de servicios de TI</v>
      </c>
      <c r="F157" s="196">
        <v>1</v>
      </c>
      <c r="G157" s="264"/>
      <c r="H157" s="264"/>
    </row>
    <row r="158" spans="1:8" ht="60" customHeight="1" x14ac:dyDescent="0.2">
      <c r="A158" s="308">
        <v>153</v>
      </c>
      <c r="B158" s="309" t="str">
        <f>VLOOKUP(A158,'2.1.Atributos MGGTI'!$A$6:$F$207,3,0)</f>
        <v>Gestión de ANS</v>
      </c>
      <c r="C158" s="310">
        <f>VLOOKUP(A158,'2.1.Atributos MGGTI'!$A$6:$F$207,5,0)</f>
        <v>3</v>
      </c>
      <c r="D158" s="309" t="str">
        <f>VLOOKUP(A158,'2.1.Atributos MGGTI'!$A$6:$D$207,4,0)</f>
        <v>Se ha definido e implementado  un procedimiento de gestión de niveles de servicio a partir del cual se define los ANS de todos los servicios</v>
      </c>
      <c r="E158" s="309" t="str">
        <f>VLOOKUP(A158,'2.1.Atributos MGGTI'!$A$6:$F$207,6,0)</f>
        <v>Gestión de servicios de TI</v>
      </c>
      <c r="F158" s="196">
        <v>1</v>
      </c>
      <c r="G158" s="264"/>
      <c r="H158" s="264"/>
    </row>
    <row r="159" spans="1:8" ht="60" customHeight="1" x14ac:dyDescent="0.2">
      <c r="A159" s="308">
        <v>154</v>
      </c>
      <c r="B159" s="309" t="str">
        <f>VLOOKUP(A159,'2.1.Atributos MGGTI'!$A$6:$F$207,3,0)</f>
        <v>Gestión de ANS</v>
      </c>
      <c r="C159" s="310">
        <f>VLOOKUP(A159,'2.1.Atributos MGGTI'!$A$6:$F$207,5,0)</f>
        <v>4</v>
      </c>
      <c r="D159" s="309" t="str">
        <f>VLOOKUP(A159,'2.1.Atributos MGGTI'!$A$6:$D$207,4,0)</f>
        <v>Se hace monitoreo y evaluación los ANS de todos los servicios y se aplican las medidas correctivas necesarias</v>
      </c>
      <c r="E159" s="309" t="str">
        <f>VLOOKUP(A159,'2.1.Atributos MGGTI'!$A$6:$F$207,6,0)</f>
        <v>Gestión de servicios de TI</v>
      </c>
      <c r="F159" s="196">
        <v>1</v>
      </c>
      <c r="G159" s="264"/>
      <c r="H159" s="264"/>
    </row>
    <row r="160" spans="1:8" ht="60" customHeight="1" x14ac:dyDescent="0.2">
      <c r="A160" s="308">
        <v>155</v>
      </c>
      <c r="B160" s="309" t="str">
        <f>VLOOKUP(A160,'2.1.Atributos MGGTI'!$A$6:$F$207,3,0)</f>
        <v>Gestión de continuidad de TI</v>
      </c>
      <c r="C160" s="310">
        <f>VLOOKUP(A160,'2.1.Atributos MGGTI'!$A$6:$F$207,5,0)</f>
        <v>2</v>
      </c>
      <c r="D160" s="309" t="str">
        <f>VLOOKUP(A160,'2.1.Atributos MGGTI'!$A$6:$D$207,4,0)</f>
        <v>Se cuenta con mecanismos de respaldo y recuperación sobre las capacidades de tecnología que habilitan los servicios de TI</v>
      </c>
      <c r="E160" s="309" t="str">
        <f>VLOOKUP(A160,'2.1.Atributos MGGTI'!$A$6:$F$207,6,0)</f>
        <v>Gestión de servicios de TI</v>
      </c>
      <c r="F160" s="196">
        <v>1</v>
      </c>
      <c r="G160" s="264"/>
      <c r="H160" s="264"/>
    </row>
    <row r="161" spans="1:8" ht="60" customHeight="1" x14ac:dyDescent="0.2">
      <c r="A161" s="308">
        <v>156</v>
      </c>
      <c r="B161" s="309" t="str">
        <f>VLOOKUP(A161,'2.1.Atributos MGGTI'!$A$6:$F$207,3,0)</f>
        <v>Gestión de continuidad de TI</v>
      </c>
      <c r="C161" s="310">
        <f>VLOOKUP(A161,'2.1.Atributos MGGTI'!$A$6:$F$207,5,0)</f>
        <v>3</v>
      </c>
      <c r="D161" s="309" t="str">
        <f>VLOOKUP(A161,'2.1.Atributos MGGTI'!$A$6:$D$207,4,0)</f>
        <v>Se ha definido en implementado un procedimiento de gestión de continuidad de servicios de TI en el cual  se articula con la continuidad de negocio de la entidad y se tienen definidos e implementados los planes de continuidad de los servicios tecnológicos y las infraestructuras críticas que posee.</v>
      </c>
      <c r="E161" s="309" t="str">
        <f>VLOOKUP(A161,'2.1.Atributos MGGTI'!$A$6:$F$207,6,0)</f>
        <v>Gestión de servicios de TI</v>
      </c>
      <c r="F161" s="196">
        <v>1</v>
      </c>
      <c r="G161" s="264"/>
      <c r="H161" s="264"/>
    </row>
    <row r="162" spans="1:8" ht="60" customHeight="1" x14ac:dyDescent="0.2">
      <c r="A162" s="308">
        <v>157</v>
      </c>
      <c r="B162" s="309" t="str">
        <f>VLOOKUP(A162,'2.1.Atributos MGGTI'!$A$6:$F$207,3,0)</f>
        <v>Gestión de continuidad de TI</v>
      </c>
      <c r="C162" s="310">
        <f>VLOOKUP(A162,'2.1.Atributos MGGTI'!$A$6:$F$207,5,0)</f>
        <v>4</v>
      </c>
      <c r="D162" s="309" t="str">
        <f>VLOOKUP(A162,'2.1.Atributos MGGTI'!$A$6:$D$207,4,0)</f>
        <v>Se realizan pruebas periódicas sobre los planes de continuidad de TI</v>
      </c>
      <c r="E162" s="309" t="str">
        <f>VLOOKUP(A162,'2.1.Atributos MGGTI'!$A$6:$F$207,6,0)</f>
        <v>Gestión de servicios de TI</v>
      </c>
      <c r="F162" s="196">
        <v>1</v>
      </c>
      <c r="G162" s="264"/>
      <c r="H162" s="264"/>
    </row>
    <row r="163" spans="1:8" ht="60" customHeight="1" x14ac:dyDescent="0.2">
      <c r="A163" s="308">
        <v>158</v>
      </c>
      <c r="B163" s="309" t="str">
        <f>VLOOKUP(A163,'2.1.Atributos MGGTI'!$A$6:$F$207,3,0)</f>
        <v>Gestión de continuidad de TI</v>
      </c>
      <c r="C163" s="310">
        <f>VLOOKUP(A163,'2.1.Atributos MGGTI'!$A$6:$F$207,5,0)</f>
        <v>5</v>
      </c>
      <c r="D163" s="309" t="str">
        <f>VLOOKUP(A163,'2.1.Atributos MGGTI'!$A$6:$D$207,4,0)</f>
        <v>Se hace mejora continúa en la gestión de la continuidad.</v>
      </c>
      <c r="E163" s="309" t="str">
        <f>VLOOKUP(A163,'2.1.Atributos MGGTI'!$A$6:$F$207,6,0)</f>
        <v>Gestión de servicios de TI</v>
      </c>
      <c r="F163" s="196">
        <v>1</v>
      </c>
      <c r="G163" s="264"/>
      <c r="H163" s="264"/>
    </row>
    <row r="164" spans="1:8" ht="60" customHeight="1" x14ac:dyDescent="0.2">
      <c r="A164" s="308">
        <v>159</v>
      </c>
      <c r="B164" s="309" t="str">
        <f>VLOOKUP(A164,'2.1.Atributos MGGTI'!$A$6:$F$207,3,0)</f>
        <v xml:space="preserve">Gestión de disponbilidad </v>
      </c>
      <c r="C164" s="310">
        <f>VLOOKUP(A164,'2.1.Atributos MGGTI'!$A$6:$F$207,5,0)</f>
        <v>2</v>
      </c>
      <c r="D164" s="309" t="str">
        <f>VLOOKUP(A164,'2.1.Atributos MGGTI'!$A$6:$D$207,4,0)</f>
        <v xml:space="preserve">Se cuenta con una estrategia y un procedimiento para definir los esquemas de disponibilidad orientados a contigencias y alta disponibiliad según la criticidad de los servicios </v>
      </c>
      <c r="E164" s="309" t="str">
        <f>VLOOKUP(A164,'2.1.Atributos MGGTI'!$A$6:$F$207,6,0)</f>
        <v>Gestión de servicios de TI</v>
      </c>
      <c r="F164" s="196">
        <v>1</v>
      </c>
      <c r="G164" s="264"/>
      <c r="H164" s="264"/>
    </row>
    <row r="165" spans="1:8" ht="60" customHeight="1" x14ac:dyDescent="0.2">
      <c r="A165" s="308">
        <v>160</v>
      </c>
      <c r="B165" s="309" t="str">
        <f>VLOOKUP(A165,'2.1.Atributos MGGTI'!$A$6:$F$207,3,0)</f>
        <v xml:space="preserve">Gestión de disponbilidad </v>
      </c>
      <c r="C165" s="310">
        <f>VLOOKUP(A165,'2.1.Atributos MGGTI'!$A$6:$F$207,5,0)</f>
        <v>3</v>
      </c>
      <c r="D165" s="309" t="str">
        <f>VLOOKUP(A165,'2.1.Atributos MGGTI'!$A$6:$D$207,4,0)</f>
        <v xml:space="preserve">Se ha definido e implementado un procedimiento para gestionar la disponibilidad según la criticidad de los servicios. </v>
      </c>
      <c r="E165" s="309" t="str">
        <f>VLOOKUP(A165,'2.1.Atributos MGGTI'!$A$6:$F$207,6,0)</f>
        <v>Gestión de servicios de TI</v>
      </c>
      <c r="F165" s="196">
        <v>1</v>
      </c>
      <c r="G165" s="264"/>
      <c r="H165" s="264"/>
    </row>
    <row r="166" spans="1:8" ht="60" customHeight="1" x14ac:dyDescent="0.2">
      <c r="A166" s="308">
        <v>161</v>
      </c>
      <c r="B166" s="309" t="str">
        <f>VLOOKUP(A166,'2.1.Atributos MGGTI'!$A$6:$F$207,3,0)</f>
        <v xml:space="preserve">Gestión de disponbilidad </v>
      </c>
      <c r="C166" s="310">
        <f>VLOOKUP(A166,'2.1.Atributos MGGTI'!$A$6:$F$207,5,0)</f>
        <v>4</v>
      </c>
      <c r="D166" s="309" t="str">
        <f>VLOOKUP(A166,'2.1.Atributos MGGTI'!$A$6:$D$207,4,0)</f>
        <v xml:space="preserve">Se realiza monitoreo y evaluación a la gestión de la disponibilidad de los servicios. </v>
      </c>
      <c r="E166" s="309" t="str">
        <f>VLOOKUP(A166,'2.1.Atributos MGGTI'!$A$6:$F$207,6,0)</f>
        <v>Gestión de servicios de TI</v>
      </c>
      <c r="F166" s="196">
        <v>1</v>
      </c>
      <c r="G166" s="264"/>
      <c r="H166" s="264"/>
    </row>
    <row r="167" spans="1:8" ht="60" customHeight="1" x14ac:dyDescent="0.2">
      <c r="A167" s="308">
        <v>162</v>
      </c>
      <c r="B167" s="309" t="str">
        <f>VLOOKUP(A167,'2.1.Atributos MGGTI'!$A$6:$F$207,3,0)</f>
        <v xml:space="preserve">Gestión de disponbilidad </v>
      </c>
      <c r="C167" s="310">
        <f>VLOOKUP(A167,'2.1.Atributos MGGTI'!$A$6:$F$207,5,0)</f>
        <v>5</v>
      </c>
      <c r="D167" s="309" t="str">
        <f>VLOOKUP(A167,'2.1.Atributos MGGTI'!$A$6:$D$207,4,0)</f>
        <v>Se hace mejora continua sobre la gestión de la disponibilidad de los servicios</v>
      </c>
      <c r="E167" s="309" t="str">
        <f>VLOOKUP(A167,'2.1.Atributos MGGTI'!$A$6:$F$207,6,0)</f>
        <v>Gestión de servicios de TI</v>
      </c>
      <c r="F167" s="196">
        <v>1</v>
      </c>
      <c r="G167" s="264"/>
      <c r="H167" s="264"/>
    </row>
    <row r="168" spans="1:8" ht="60" customHeight="1" x14ac:dyDescent="0.2">
      <c r="A168" s="308">
        <v>163</v>
      </c>
      <c r="B168" s="309" t="str">
        <f>VLOOKUP(A168,'2.1.Atributos MGGTI'!$A$6:$F$207,3,0)</f>
        <v>Gestión de seguridad informática</v>
      </c>
      <c r="C168" s="310">
        <f>VLOOKUP(A168,'2.1.Atributos MGGTI'!$A$6:$F$207,5,0)</f>
        <v>2</v>
      </c>
      <c r="D168" s="309" t="str">
        <f>VLOOKUP(A168,'2.1.Atributos MGGTI'!$A$6:$D$207,4,0)</f>
        <v>La entidad hizo la gestión de los riesgos asociados a su infraestructura tecnológica y servicios tecnológicos.</v>
      </c>
      <c r="E168" s="309" t="str">
        <f>VLOOKUP(A168,'2.1.Atributos MGGTI'!$A$6:$F$207,6,0)</f>
        <v>Gestión de servicios de TI</v>
      </c>
      <c r="F168" s="196">
        <v>1</v>
      </c>
      <c r="G168" s="264"/>
      <c r="H168" s="264"/>
    </row>
    <row r="169" spans="1:8" ht="60" customHeight="1" x14ac:dyDescent="0.2">
      <c r="A169" s="308">
        <v>164</v>
      </c>
      <c r="B169" s="309" t="str">
        <f>VLOOKUP(A169,'2.1.Atributos MGGTI'!$A$6:$F$207,3,0)</f>
        <v>Gestión de seguridad informática</v>
      </c>
      <c r="C169" s="310">
        <f>VLOOKUP(A169,'2.1.Atributos MGGTI'!$A$6:$F$207,5,0)</f>
        <v>3</v>
      </c>
      <c r="D169" s="309" t="str">
        <f>VLOOKUP(A169,'2.1.Atributos MGGTI'!$A$6:$D$207,4,0)</f>
        <v xml:space="preserve">La entidad define formalmente e implementa procedimientos de la gestión de seguridad informática, que incluye el análisis y gestión de los riesgos asociados e implementa controles de seguridad para los servicios tecnológicos </v>
      </c>
      <c r="E169" s="309" t="str">
        <f>VLOOKUP(A169,'2.1.Atributos MGGTI'!$A$6:$F$207,6,0)</f>
        <v>Gestión de servicios de TI</v>
      </c>
      <c r="F169" s="196">
        <v>1</v>
      </c>
      <c r="G169" s="264"/>
      <c r="H169" s="264"/>
    </row>
    <row r="170" spans="1:8" ht="60" customHeight="1" x14ac:dyDescent="0.2">
      <c r="A170" s="308">
        <v>165</v>
      </c>
      <c r="B170" s="309" t="str">
        <f>VLOOKUP(A170,'2.1.Atributos MGGTI'!$A$6:$F$207,3,0)</f>
        <v>Gestión de seguridad informática</v>
      </c>
      <c r="C170" s="310">
        <f>VLOOKUP(A170,'2.1.Atributos MGGTI'!$A$6:$F$207,5,0)</f>
        <v>4</v>
      </c>
      <c r="D170" s="309" t="str">
        <f>VLOOKUP(A170,'2.1.Atributos MGGTI'!$A$6:$D$207,4,0)</f>
        <v>Se realiza monitoreo y evaluación a la gestión de la seguridad informática</v>
      </c>
      <c r="E170" s="309" t="str">
        <f>VLOOKUP(A170,'2.1.Atributos MGGTI'!$A$6:$F$207,6,0)</f>
        <v>Gestión de servicios de TI</v>
      </c>
      <c r="F170" s="196">
        <v>1</v>
      </c>
      <c r="G170" s="264"/>
      <c r="H170" s="264"/>
    </row>
    <row r="171" spans="1:8" ht="60" customHeight="1" x14ac:dyDescent="0.2">
      <c r="A171" s="308">
        <v>166</v>
      </c>
      <c r="B171" s="309" t="str">
        <f>VLOOKUP(A171,'2.1.Atributos MGGTI'!$A$6:$F$207,3,0)</f>
        <v>Gestión de seguridad informática</v>
      </c>
      <c r="C171" s="310">
        <f>VLOOKUP(A171,'2.1.Atributos MGGTI'!$A$6:$F$207,5,0)</f>
        <v>5</v>
      </c>
      <c r="D171" s="309" t="str">
        <f>VLOOKUP(A171,'2.1.Atributos MGGTI'!$A$6:$D$207,4,0)</f>
        <v>Se realiza mejora continua sobre la gestión de seguridad informática</v>
      </c>
      <c r="E171" s="309" t="str">
        <f>VLOOKUP(A171,'2.1.Atributos MGGTI'!$A$6:$F$207,6,0)</f>
        <v>Gestión de servicios de TI</v>
      </c>
      <c r="F171" s="196">
        <v>1</v>
      </c>
      <c r="G171" s="264"/>
      <c r="H171" s="264"/>
    </row>
    <row r="172" spans="1:8" ht="60" customHeight="1" x14ac:dyDescent="0.2">
      <c r="A172" s="308">
        <v>167</v>
      </c>
      <c r="B172" s="309" t="str">
        <f>VLOOKUP(A172,'2.1.Atributos MGGTI'!$A$6:$F$207,3,0)</f>
        <v>Gestión de cambios</v>
      </c>
      <c r="C172" s="310">
        <f>VLOOKUP(A172,'2.1.Atributos MGGTI'!$A$6:$F$207,5,0)</f>
        <v>2</v>
      </c>
      <c r="D172" s="309" t="str">
        <f>VLOOKUP(A172,'2.1.Atributos MGGTI'!$A$6:$D$207,4,0)</f>
        <v>Se cuenta con un procedimiento de cambio formalizado para registrar y establecer el plan de ejecución de los cambios a realizar en los Servicios Tecnológicos</v>
      </c>
      <c r="E172" s="309" t="str">
        <f>VLOOKUP(A172,'2.1.Atributos MGGTI'!$A$6:$F$207,6,0)</f>
        <v>Gestión de servicios de TI</v>
      </c>
      <c r="F172" s="196">
        <v>1</v>
      </c>
      <c r="G172" s="264"/>
      <c r="H172" s="264"/>
    </row>
    <row r="173" spans="1:8" ht="60" customHeight="1" x14ac:dyDescent="0.2">
      <c r="A173" s="308">
        <v>168</v>
      </c>
      <c r="B173" s="309" t="str">
        <f>VLOOKUP(A173,'2.1.Atributos MGGTI'!$A$6:$F$207,3,0)</f>
        <v>Gestión de cambios</v>
      </c>
      <c r="C173" s="310">
        <f>VLOOKUP(A173,'2.1.Atributos MGGTI'!$A$6:$F$207,5,0)</f>
        <v>3</v>
      </c>
      <c r="D173" s="309" t="str">
        <f>VLOOKUP(A173,'2.1.Atributos MGGTI'!$A$6:$D$207,4,0)</f>
        <v>Se ha definido en implementado un procedimiento de gestión de cambios que se encuentra articulado con la administración de la capacidad del servicio, la gestión de la seguridad, la gestión de la entrega y puesta en producción/operación.</v>
      </c>
      <c r="E173" s="309" t="str">
        <f>VLOOKUP(A173,'2.1.Atributos MGGTI'!$A$6:$F$207,6,0)</f>
        <v>Gestión de servicios de TI</v>
      </c>
      <c r="F173" s="196">
        <v>1</v>
      </c>
      <c r="G173" s="264"/>
      <c r="H173" s="264"/>
    </row>
    <row r="174" spans="1:8" ht="60" customHeight="1" x14ac:dyDescent="0.2">
      <c r="A174" s="308">
        <v>169</v>
      </c>
      <c r="B174" s="309" t="str">
        <f>VLOOKUP(A174,'2.1.Atributos MGGTI'!$A$6:$F$207,3,0)</f>
        <v>Gestión de cambios</v>
      </c>
      <c r="C174" s="310">
        <f>VLOOKUP(A174,'2.1.Atributos MGGTI'!$A$6:$F$207,5,0)</f>
        <v>4</v>
      </c>
      <c r="D174" s="309" t="str">
        <f>VLOOKUP(A174,'2.1.Atributos MGGTI'!$A$6:$D$207,4,0)</f>
        <v>Se realiza evaluación, seguimiento a la gestión de cambios</v>
      </c>
      <c r="E174" s="309" t="str">
        <f>VLOOKUP(A174,'2.1.Atributos MGGTI'!$A$6:$F$207,6,0)</f>
        <v>Gestión de servicios de TI</v>
      </c>
      <c r="F174" s="196">
        <v>1</v>
      </c>
      <c r="G174" s="264"/>
      <c r="H174" s="264"/>
    </row>
    <row r="175" spans="1:8" ht="60" customHeight="1" x14ac:dyDescent="0.2">
      <c r="A175" s="308">
        <v>170</v>
      </c>
      <c r="B175" s="309" t="str">
        <f>VLOOKUP(A175,'2.1.Atributos MGGTI'!$A$6:$F$207,3,0)</f>
        <v>Gestión de cambios</v>
      </c>
      <c r="C175" s="310">
        <f>VLOOKUP(A175,'2.1.Atributos MGGTI'!$A$6:$F$207,5,0)</f>
        <v>5</v>
      </c>
      <c r="D175" s="309" t="str">
        <f>VLOOKUP(A175,'2.1.Atributos MGGTI'!$A$6:$D$207,4,0)</f>
        <v>Se adelantan acciones de mejora continúa sobre la gestión de cambios.</v>
      </c>
      <c r="E175" s="309" t="str">
        <f>VLOOKUP(A175,'2.1.Atributos MGGTI'!$A$6:$F$207,6,0)</f>
        <v>Gestión de servicios de TI</v>
      </c>
      <c r="F175" s="196">
        <v>1</v>
      </c>
      <c r="G175" s="264"/>
      <c r="H175" s="264"/>
    </row>
    <row r="176" spans="1:8" ht="60" customHeight="1" x14ac:dyDescent="0.2">
      <c r="A176" s="308">
        <v>171</v>
      </c>
      <c r="B176" s="309" t="str">
        <f>VLOOKUP(A176,'2.1.Atributos MGGTI'!$A$6:$F$207,3,0)</f>
        <v>Gestión de incidentes y solicitudes</v>
      </c>
      <c r="C176" s="310">
        <f>VLOOKUP(A176,'2.1.Atributos MGGTI'!$A$6:$F$207,5,0)</f>
        <v>2</v>
      </c>
      <c r="D176" s="309" t="str">
        <f>VLOOKUP(A176,'2.1.Atributos MGGTI'!$A$6:$D$207,4,0)</f>
        <v>Se ha definido e implementado un procedimiento para atender los requerimientos de soporte de los servicios de TI</v>
      </c>
      <c r="E176" s="309" t="str">
        <f>VLOOKUP(A176,'2.1.Atributos MGGTI'!$A$6:$F$207,6,0)</f>
        <v>Gestión de servicios de TI</v>
      </c>
      <c r="F176" s="196">
        <v>1</v>
      </c>
      <c r="G176" s="264"/>
      <c r="H176" s="264"/>
    </row>
    <row r="177" spans="1:8" ht="60" customHeight="1" x14ac:dyDescent="0.2">
      <c r="A177" s="308">
        <v>172</v>
      </c>
      <c r="B177" s="309" t="str">
        <f>VLOOKUP(A177,'2.1.Atributos MGGTI'!$A$6:$F$207,3,0)</f>
        <v>Gestión de incidentes y solicitudes</v>
      </c>
      <c r="C177" s="310">
        <f>VLOOKUP(A177,'2.1.Atributos MGGTI'!$A$6:$F$207,5,0)</f>
        <v>3</v>
      </c>
      <c r="D177" s="309" t="str">
        <f>VLOOKUP(A177,'2.1.Atributos MGGTI'!$A$6:$D$207,4,0)</f>
        <v>Se ha definido e implementado un procedimiento de gestión de incidentes y solicitudes con un esquema de soporte con niveles de atención (primer, segundo y tercer nivel) a través de un punto único de contacto y soportado por una herramienta tecnológica</v>
      </c>
      <c r="E177" s="309" t="str">
        <f>VLOOKUP(A177,'2.1.Atributos MGGTI'!$A$6:$F$207,6,0)</f>
        <v>Gestión de servicios de TI</v>
      </c>
      <c r="F177" s="196">
        <v>1</v>
      </c>
      <c r="G177" s="264"/>
      <c r="H177" s="264"/>
    </row>
    <row r="178" spans="1:8" ht="60" customHeight="1" x14ac:dyDescent="0.2">
      <c r="A178" s="308">
        <v>173</v>
      </c>
      <c r="B178" s="309" t="str">
        <f>VLOOKUP(A178,'2.1.Atributos MGGTI'!$A$6:$F$207,3,0)</f>
        <v>Gestión de incidentes y solicitudes</v>
      </c>
      <c r="C178" s="310">
        <f>VLOOKUP(A178,'2.1.Atributos MGGTI'!$A$6:$F$207,5,0)</f>
        <v>4</v>
      </c>
      <c r="D178" s="309" t="str">
        <f>VLOOKUP(A178,'2.1.Atributos MGGTI'!$A$6:$D$207,4,0)</f>
        <v>Se realiza seguimiento y evaluación a la gestión de incidentes y solicitudes</v>
      </c>
      <c r="E178" s="309" t="str">
        <f>VLOOKUP(A178,'2.1.Atributos MGGTI'!$A$6:$F$207,6,0)</f>
        <v>Gestión de servicios de TI</v>
      </c>
      <c r="F178" s="196">
        <v>1</v>
      </c>
      <c r="G178" s="264"/>
      <c r="H178" s="264"/>
    </row>
    <row r="179" spans="1:8" ht="60" customHeight="1" x14ac:dyDescent="0.2">
      <c r="A179" s="308">
        <v>174</v>
      </c>
      <c r="B179" s="309" t="str">
        <f>VLOOKUP(A179,'2.1.Atributos MGGTI'!$A$6:$F$207,3,0)</f>
        <v>Gestión de incidentes y solicitudes</v>
      </c>
      <c r="C179" s="310">
        <f>VLOOKUP(A179,'2.1.Atributos MGGTI'!$A$6:$F$207,5,0)</f>
        <v>5</v>
      </c>
      <c r="D179" s="309" t="str">
        <f>VLOOKUP(A179,'2.1.Atributos MGGTI'!$A$6:$D$207,4,0)</f>
        <v>Se realiza mejoramiento continuo de los servicios a partir del seguimiento y evaluación al procedimiento de gestión de incidentes y solicitudes</v>
      </c>
      <c r="E179" s="309" t="str">
        <f>VLOOKUP(A179,'2.1.Atributos MGGTI'!$A$6:$F$207,6,0)</f>
        <v>Gestión de servicios de TI</v>
      </c>
      <c r="F179" s="196">
        <v>1</v>
      </c>
      <c r="G179" s="264"/>
      <c r="H179" s="264"/>
    </row>
    <row r="180" spans="1:8" ht="60" customHeight="1" x14ac:dyDescent="0.2">
      <c r="A180" s="308">
        <v>175</v>
      </c>
      <c r="B180" s="309" t="str">
        <f>VLOOKUP(A180,'2.1.Atributos MGGTI'!$A$6:$F$207,3,0)</f>
        <v>Gestión de residuos técnológicos</v>
      </c>
      <c r="C180" s="310">
        <f>VLOOKUP(A180,'2.1.Atributos MGGTI'!$A$6:$F$207,5,0)</f>
        <v>3</v>
      </c>
      <c r="D180" s="309" t="str">
        <f>VLOOKUP(A180,'2.1.Atributos MGGTI'!$A$6:$D$207,4,0)</f>
        <v>La entidad tiene definido e implementado un programa de correcta disposición final de los residuos tecnológicos de acuerdo con la normatividad del Estado Colombiano</v>
      </c>
      <c r="E180" s="309" t="str">
        <f>VLOOKUP(A180,'2.1.Atributos MGGTI'!$A$6:$F$207,6,0)</f>
        <v>Gestión de servicios de TI</v>
      </c>
      <c r="F180" s="196">
        <v>1</v>
      </c>
      <c r="G180" s="264"/>
      <c r="H180" s="264"/>
    </row>
    <row r="181" spans="1:8" ht="60" customHeight="1" x14ac:dyDescent="0.2">
      <c r="A181" s="308">
        <v>176</v>
      </c>
      <c r="B181" s="309" t="str">
        <f>VLOOKUP(A181,'2.1.Atributos MGGTI'!$A$6:$F$207,3,0)</f>
        <v>Mantenimiento preventivo y correctivo</v>
      </c>
      <c r="C181" s="310">
        <f>VLOOKUP(A181,'2.1.Atributos MGGTI'!$A$6:$F$207,5,0)</f>
        <v>2</v>
      </c>
      <c r="D181" s="309" t="str">
        <f>VLOOKUP(A181,'2.1.Atributos MGGTI'!$A$6:$D$207,4,0)</f>
        <v>El área de TI tiene definidos procedimientos para el mantenimiento correctivo de los servicios Tecnológicos</v>
      </c>
      <c r="E181" s="309" t="str">
        <f>VLOOKUP(A181,'2.1.Atributos MGGTI'!$A$6:$F$207,6,0)</f>
        <v>Gestión de servicios de TI</v>
      </c>
      <c r="F181" s="196">
        <v>1</v>
      </c>
      <c r="G181" s="264"/>
      <c r="H181" s="264"/>
    </row>
    <row r="182" spans="1:8" ht="60" customHeight="1" x14ac:dyDescent="0.2">
      <c r="A182" s="308">
        <v>177</v>
      </c>
      <c r="B182" s="309" t="str">
        <f>VLOOKUP(A182,'2.1.Atributos MGGTI'!$A$6:$F$207,3,0)</f>
        <v>Mantenimiento preventivo y correctivo</v>
      </c>
      <c r="C182" s="310">
        <f>VLOOKUP(A182,'2.1.Atributos MGGTI'!$A$6:$F$207,5,0)</f>
        <v>3</v>
      </c>
      <c r="D182" s="309" t="str">
        <f>VLOOKUP(A182,'2.1.Atributos MGGTI'!$A$6:$D$207,4,0)</f>
        <v>El área de TI tiene establecido y aplica un procedimiento para planear y ejecutar las acciones de mantenimiento preventivo , correctivo y evolutivo sobre los servicios tecnológicos de la entidad</v>
      </c>
      <c r="E182" s="309" t="str">
        <f>VLOOKUP(A182,'2.1.Atributos MGGTI'!$A$6:$F$207,6,0)</f>
        <v>Gestión de servicios de TI</v>
      </c>
      <c r="F182" s="196">
        <v>1</v>
      </c>
      <c r="G182" s="264"/>
      <c r="H182" s="264"/>
    </row>
    <row r="183" spans="1:8" ht="60" customHeight="1" x14ac:dyDescent="0.2">
      <c r="A183" s="308">
        <v>178</v>
      </c>
      <c r="B183" s="309" t="str">
        <f>VLOOKUP(A183,'2.1.Atributos MGGTI'!$A$6:$F$207,3,0)</f>
        <v>Gestión de eventos</v>
      </c>
      <c r="C183" s="310">
        <f>VLOOKUP(A183,'2.1.Atributos MGGTI'!$A$6:$F$207,5,0)</f>
        <v>2</v>
      </c>
      <c r="D183" s="309" t="str">
        <f>VLOOKUP(A183,'2.1.Atributos MGGTI'!$A$6:$D$207,4,0)</f>
        <v>Se monitorea y mide el desempeño de las bases de datos, sistemas de información y servicios tecnológicos para tomar acciones cuando presente algún tipo de incidente</v>
      </c>
      <c r="E183" s="309" t="str">
        <f>VLOOKUP(A183,'2.1.Atributos MGGTI'!$A$6:$F$207,6,0)</f>
        <v>Gestión de servicios de TI</v>
      </c>
      <c r="F183" s="196">
        <v>1</v>
      </c>
      <c r="G183" s="264"/>
      <c r="H183" s="264"/>
    </row>
    <row r="184" spans="1:8" ht="60" customHeight="1" x14ac:dyDescent="0.2">
      <c r="A184" s="308">
        <v>179</v>
      </c>
      <c r="B184" s="309" t="str">
        <f>VLOOKUP(A184,'2.1.Atributos MGGTI'!$A$6:$F$207,3,0)</f>
        <v>Gestión de eventos</v>
      </c>
      <c r="C184" s="310">
        <f>VLOOKUP(A184,'2.1.Atributos MGGTI'!$A$6:$F$207,5,0)</f>
        <v>3</v>
      </c>
      <c r="D184" s="309" t="str">
        <f>VLOOKUP(A184,'2.1.Atributos MGGTI'!$A$6:$D$207,4,0)</f>
        <v>Se ha definido e implementado un procedimiento de gestión de eventos con mecanismos automáticos para el monitoreo sobre los servicios tecnológicos y que facilita su gestión preventiva, correctiva y evolutiva.</v>
      </c>
      <c r="E184" s="309" t="str">
        <f>VLOOKUP(A184,'2.1.Atributos MGGTI'!$A$6:$F$207,6,0)</f>
        <v>Gestión de servicios de TI</v>
      </c>
      <c r="F184" s="196">
        <v>1</v>
      </c>
      <c r="G184" s="264"/>
      <c r="H184" s="264"/>
    </row>
    <row r="185" spans="1:8" ht="60" customHeight="1" x14ac:dyDescent="0.2">
      <c r="A185" s="308">
        <v>180</v>
      </c>
      <c r="B185" s="309" t="str">
        <f>VLOOKUP(A185,'2.1.Atributos MGGTI'!$A$6:$F$207,3,0)</f>
        <v>Gestión de eventos</v>
      </c>
      <c r="C185" s="310">
        <f>VLOOKUP(A185,'2.1.Atributos MGGTI'!$A$6:$F$207,5,0)</f>
        <v>4</v>
      </c>
      <c r="D185" s="309" t="str">
        <f>VLOOKUP(A185,'2.1.Atributos MGGTI'!$A$6:$D$207,4,0)</f>
        <v>Se realiza seguimiento y evaluación a la gestión de eventos</v>
      </c>
      <c r="E185" s="309" t="str">
        <f>VLOOKUP(A185,'2.1.Atributos MGGTI'!$A$6:$F$207,6,0)</f>
        <v>Gestión de servicios de TI</v>
      </c>
      <c r="F185" s="196">
        <v>1</v>
      </c>
      <c r="G185" s="264"/>
      <c r="H185" s="264"/>
    </row>
    <row r="186" spans="1:8" ht="60" customHeight="1" x14ac:dyDescent="0.2">
      <c r="A186" s="308">
        <v>181</v>
      </c>
      <c r="B186" s="309" t="str">
        <f>VLOOKUP(A186,'2.1.Atributos MGGTI'!$A$6:$F$207,3,0)</f>
        <v>Gestión de eventos</v>
      </c>
      <c r="C186" s="310">
        <f>VLOOKUP(A186,'2.1.Atributos MGGTI'!$A$6:$F$207,5,0)</f>
        <v>5</v>
      </c>
      <c r="D186" s="309" t="str">
        <f>VLOOKUP(A186,'2.1.Atributos MGGTI'!$A$6:$D$207,4,0)</f>
        <v>Se realiza mejoramiento continuo de los servicios a partir de la gestion de eventos.</v>
      </c>
      <c r="E186" s="309" t="str">
        <f>VLOOKUP(A186,'2.1.Atributos MGGTI'!$A$6:$F$207,6,0)</f>
        <v>Gestión de servicios de TI</v>
      </c>
      <c r="F186" s="196">
        <v>1</v>
      </c>
      <c r="G186" s="264"/>
      <c r="H186" s="264"/>
    </row>
    <row r="187" spans="1:8" ht="60" customHeight="1" x14ac:dyDescent="0.2">
      <c r="A187" s="308">
        <v>182</v>
      </c>
      <c r="B187" s="309" t="str">
        <f>VLOOKUP(A187,'2.1.Atributos MGGTI'!$A$6:$F$207,3,0)</f>
        <v>Gestión de problemas</v>
      </c>
      <c r="C187" s="310">
        <f>VLOOKUP(A187,'2.1.Atributos MGGTI'!$A$6:$F$207,5,0)</f>
        <v>2</v>
      </c>
      <c r="D187" s="309" t="str">
        <f>VLOOKUP(A187,'2.1.Atributos MGGTI'!$A$6:$D$207,4,0)</f>
        <v>Se cuenta con mecanismos para identifcar y dar solución a los problemas identificados sobre los servicios de TI.</v>
      </c>
      <c r="E187" s="309" t="str">
        <f>VLOOKUP(A187,'2.1.Atributos MGGTI'!$A$6:$F$207,6,0)</f>
        <v>Gestión de servicios de TI</v>
      </c>
      <c r="F187" s="196">
        <v>1</v>
      </c>
      <c r="G187" s="264"/>
      <c r="H187" s="264"/>
    </row>
    <row r="188" spans="1:8" ht="60" customHeight="1" x14ac:dyDescent="0.2">
      <c r="A188" s="308">
        <v>183</v>
      </c>
      <c r="B188" s="309" t="str">
        <f>VLOOKUP(A188,'2.1.Atributos MGGTI'!$A$6:$F$207,3,0)</f>
        <v>Gestión de problemas</v>
      </c>
      <c r="C188" s="310">
        <f>VLOOKUP(A188,'2.1.Atributos MGGTI'!$A$6:$F$207,5,0)</f>
        <v>3</v>
      </c>
      <c r="D188" s="309" t="str">
        <f>VLOOKUP(A188,'2.1.Atributos MGGTI'!$A$6:$D$207,4,0)</f>
        <v>Se ha definido e implementado  procedimiento de gestión de problemas  formalizado,  el cual incluye ademas del registro, el análisis de impacto del problema, identificación del error conocido, plan de soluciones y la viabilidad de su implementación. Se encuentra articulado con los demás procedimientos de gestión de servicios tecnológicos que intervienen en la soluciones.</v>
      </c>
      <c r="E188" s="309" t="str">
        <f>VLOOKUP(A188,'2.1.Atributos MGGTI'!$A$6:$F$207,6,0)</f>
        <v>Gestión de servicios de TI</v>
      </c>
      <c r="F188" s="196">
        <v>1</v>
      </c>
      <c r="G188" s="264"/>
      <c r="H188" s="264"/>
    </row>
    <row r="189" spans="1:8" ht="60" customHeight="1" x14ac:dyDescent="0.2">
      <c r="A189" s="308">
        <v>184</v>
      </c>
      <c r="B189" s="309" t="str">
        <f>VLOOKUP(A189,'2.1.Atributos MGGTI'!$A$6:$F$207,3,0)</f>
        <v>Gestión de problemas</v>
      </c>
      <c r="C189" s="310">
        <f>VLOOKUP(A189,'2.1.Atributos MGGTI'!$A$6:$F$207,5,0)</f>
        <v>4</v>
      </c>
      <c r="D189" s="309" t="str">
        <f>VLOOKUP(A189,'2.1.Atributos MGGTI'!$A$6:$D$207,4,0)</f>
        <v>La gestión de problemas  se encuentra articulada con los demás procedimientos de gestión de servicios tecnológicos que intervienen en la soluciones.</v>
      </c>
      <c r="E189" s="309" t="str">
        <f>VLOOKUP(A189,'2.1.Atributos MGGTI'!$A$6:$F$207,6,0)</f>
        <v>Gestión de servicios de TI</v>
      </c>
      <c r="F189" s="196">
        <v>1</v>
      </c>
      <c r="G189" s="264"/>
      <c r="H189" s="264"/>
    </row>
    <row r="190" spans="1:8" ht="60" customHeight="1" x14ac:dyDescent="0.2">
      <c r="A190" s="308">
        <v>185</v>
      </c>
      <c r="B190" s="309" t="str">
        <f>VLOOKUP(A190,'2.1.Atributos MGGTI'!$A$6:$F$207,3,0)</f>
        <v>Gestión de configuraciones</v>
      </c>
      <c r="C190" s="310">
        <f>VLOOKUP(A190,'2.1.Atributos MGGTI'!$A$6:$F$207,5,0)</f>
        <v>2</v>
      </c>
      <c r="D190" s="309" t="str">
        <f>VLOOKUP(A190,'2.1.Atributos MGGTI'!$A$6:$D$207,4,0)</f>
        <v>Se cuenta con un repositorio para almacenar la información de de la operación de los servicios de TI y las configuraciones de las capacidades tecnológicas.</v>
      </c>
      <c r="E190" s="309" t="str">
        <f>VLOOKUP(A190,'2.1.Atributos MGGTI'!$A$6:$F$207,6,0)</f>
        <v>Gestión de servicios de TI</v>
      </c>
      <c r="F190" s="196">
        <v>1</v>
      </c>
      <c r="G190" s="264"/>
      <c r="H190" s="264"/>
    </row>
    <row r="191" spans="1:8" ht="60" customHeight="1" x14ac:dyDescent="0.2">
      <c r="A191" s="308">
        <v>186</v>
      </c>
      <c r="B191" s="309" t="str">
        <f>VLOOKUP(A191,'2.1.Atributos MGGTI'!$A$6:$F$207,3,0)</f>
        <v>Gestión de configuraciones</v>
      </c>
      <c r="C191" s="310">
        <f>VLOOKUP(A191,'2.1.Atributos MGGTI'!$A$6:$F$207,5,0)</f>
        <v>3</v>
      </c>
      <c r="D191" s="309" t="str">
        <f>VLOOKUP(A191,'2.1.Atributos MGGTI'!$A$6:$D$207,4,0)</f>
        <v xml:space="preserve">Se ha definido e implementado  procedimiento de gestión de configuraciones  para almacenar y gestionar la información de configuraciones de todos los servicios de TI y capacidades de tecnología. </v>
      </c>
      <c r="E191" s="309" t="str">
        <f>VLOOKUP(A191,'2.1.Atributos MGGTI'!$A$6:$F$207,6,0)</f>
        <v>Gestión de servicios de TI</v>
      </c>
      <c r="F191" s="196">
        <v>1</v>
      </c>
      <c r="G191" s="264"/>
      <c r="H191" s="264"/>
    </row>
    <row r="192" spans="1:8" ht="60" customHeight="1" x14ac:dyDescent="0.2">
      <c r="A192" s="308">
        <v>187</v>
      </c>
      <c r="B192" s="309" t="str">
        <f>VLOOKUP(A192,'2.1.Atributos MGGTI'!$A$6:$F$207,3,0)</f>
        <v>Gestión de configuraciones</v>
      </c>
      <c r="C192" s="310">
        <f>VLOOKUP(A192,'2.1.Atributos MGGTI'!$A$6:$F$207,5,0)</f>
        <v>4</v>
      </c>
      <c r="D192" s="309" t="str">
        <f>VLOOKUP(A192,'2.1.Atributos MGGTI'!$A$6:$D$207,4,0)</f>
        <v>La gestión de de configuraciones se encuentra articulada con la gestión de cambios y la gestión de la seguridad informática</v>
      </c>
      <c r="E192" s="309" t="str">
        <f>VLOOKUP(A192,'2.1.Atributos MGGTI'!$A$6:$F$207,6,0)</f>
        <v>Gestión de servicios de TI</v>
      </c>
      <c r="F192" s="196">
        <v>1</v>
      </c>
      <c r="G192" s="264"/>
      <c r="H192" s="264"/>
    </row>
    <row r="193" spans="1:8" ht="60" customHeight="1" x14ac:dyDescent="0.2">
      <c r="A193" s="308">
        <v>188</v>
      </c>
      <c r="B193" s="309" t="str">
        <f>VLOOKUP(A193,'2.1.Atributos MGGTI'!$A$6:$F$207,3,0)</f>
        <v>Estrategia de uso y apropiación de TI</v>
      </c>
      <c r="C193" s="310">
        <f>VLOOKUP(A193,'2.1.Atributos MGGTI'!$A$6:$F$207,5,0)</f>
        <v>2</v>
      </c>
      <c r="D193" s="309" t="str">
        <f>VLOOKUP(A193,'2.1.Atributos MGGTI'!$A$6:$D$207,4,0)</f>
        <v>Desde la gestión de TI se ejecutan acciones de uso y apropiación particulares para impulsar la adopción de capacidades y servicios de TI</v>
      </c>
      <c r="E193" s="309" t="str">
        <f>VLOOKUP(A193,'2.1.Atributos MGGTI'!$A$6:$F$207,6,0)</f>
        <v>Uso y apropiación</v>
      </c>
      <c r="F193" s="196">
        <v>1</v>
      </c>
      <c r="G193" s="264"/>
      <c r="H193" s="264"/>
    </row>
    <row r="194" spans="1:8" ht="60" customHeight="1" x14ac:dyDescent="0.2">
      <c r="A194" s="308">
        <v>189</v>
      </c>
      <c r="B194" s="309" t="str">
        <f>VLOOKUP(A194,'2.1.Atributos MGGTI'!$A$6:$F$207,3,0)</f>
        <v>Estrategia de uso y apropiación de TI</v>
      </c>
      <c r="C194" s="310">
        <f>VLOOKUP(A194,'2.1.Atributos MGGTI'!$A$6:$F$207,5,0)</f>
        <v>3</v>
      </c>
      <c r="D194" s="309" t="str">
        <f>VLOOKUP(A194,'2.1.Atributos MGGTI'!$A$6:$D$207,4,0)</f>
        <v>La estrategia de uso y apropiación de TI existe y se ejecuta según su plan de implementación para impulsar la adopción de las capacidades y servicios de TI por parte de los grupos de interés.</v>
      </c>
      <c r="E194" s="309" t="str">
        <f>VLOOKUP(A194,'2.1.Atributos MGGTI'!$A$6:$F$207,6,0)</f>
        <v>Uso y apropiación</v>
      </c>
      <c r="F194" s="196">
        <v>1</v>
      </c>
      <c r="G194" s="264"/>
      <c r="H194" s="264"/>
    </row>
    <row r="195" spans="1:8" ht="60" customHeight="1" x14ac:dyDescent="0.2">
      <c r="A195" s="308">
        <v>190</v>
      </c>
      <c r="B195" s="309" t="str">
        <f>VLOOKUP(A195,'2.1.Atributos MGGTI'!$A$6:$F$207,3,0)</f>
        <v>Estrategia de uso y apropiación de TI</v>
      </c>
      <c r="C195" s="310">
        <f>VLOOKUP(A195,'2.1.Atributos MGGTI'!$A$6:$F$207,5,0)</f>
        <v>4</v>
      </c>
      <c r="D195" s="309" t="str">
        <f>VLOOKUP(A195,'2.1.Atributos MGGTI'!$A$6:$D$207,4,0)</f>
        <v>Se realiza el seguimiento y evaluación a la implementación de la estrategia de uso y apropiación y se establecen acciones de mejoramiento.</v>
      </c>
      <c r="E195" s="309" t="str">
        <f>VLOOKUP(A195,'2.1.Atributos MGGTI'!$A$6:$F$207,6,0)</f>
        <v>Uso y apropiación</v>
      </c>
      <c r="F195" s="196">
        <v>1</v>
      </c>
      <c r="G195" s="264"/>
      <c r="H195" s="264"/>
    </row>
    <row r="196" spans="1:8" ht="60" customHeight="1" x14ac:dyDescent="0.2">
      <c r="A196" s="308">
        <v>191</v>
      </c>
      <c r="B196" s="309" t="str">
        <f>VLOOKUP(A196,'2.1.Atributos MGGTI'!$A$6:$F$207,3,0)</f>
        <v>Estrategia de uso y apropiación de TI</v>
      </c>
      <c r="C196" s="310">
        <f>VLOOKUP(A196,'2.1.Atributos MGGTI'!$A$6:$F$207,5,0)</f>
        <v>5</v>
      </c>
      <c r="D196" s="309" t="str">
        <f>VLOOKUP(A196,'2.1.Atributos MGGTI'!$A$6:$D$207,4,0)</f>
        <v>Se ejecutan acciones de mejoramiento o actualizaciones sobre la estrategia de uso y apropiación de TI como resultado de la evaluación y seguimiento de su implementación.</v>
      </c>
      <c r="E196" s="309" t="str">
        <f>VLOOKUP(A196,'2.1.Atributos MGGTI'!$A$6:$F$207,6,0)</f>
        <v>Uso y apropiación</v>
      </c>
      <c r="F196" s="196">
        <v>1</v>
      </c>
      <c r="G196" s="264"/>
      <c r="H196" s="264"/>
    </row>
    <row r="197" spans="1:8" ht="60" customHeight="1" x14ac:dyDescent="0.2">
      <c r="A197" s="308">
        <v>192</v>
      </c>
      <c r="B197" s="309" t="str">
        <f>VLOOKUP(A197,'2.1.Atributos MGGTI'!$A$6:$F$207,3,0)</f>
        <v>Estrategia de uso y apropiación de TI</v>
      </c>
      <c r="C197" s="310">
        <f>VLOOKUP(A197,'2.1.Atributos MGGTI'!$A$6:$F$207,5,0)</f>
        <v>3</v>
      </c>
      <c r="D197" s="309" t="str">
        <f>VLOOKUP(A197,'2.1.Atributos MGGTI'!$A$6:$D$207,4,0)</f>
        <v>Se establecen incentivos para movilizar a los grupos de interés en el desarrollo y adopción de capacidades y servicios de TI de misión crítica o prioritarias</v>
      </c>
      <c r="E197" s="309" t="str">
        <f>VLOOKUP(A197,'2.1.Atributos MGGTI'!$A$6:$F$207,6,0)</f>
        <v>Uso y apropiación</v>
      </c>
      <c r="F197" s="196">
        <v>1</v>
      </c>
      <c r="G197" s="264"/>
      <c r="H197" s="264"/>
    </row>
    <row r="198" spans="1:8" ht="60" customHeight="1" x14ac:dyDescent="0.2">
      <c r="A198" s="308">
        <v>193</v>
      </c>
      <c r="B198" s="309" t="str">
        <f>VLOOKUP(A198,'2.1.Atributos MGGTI'!$A$6:$F$207,3,0)</f>
        <v>Estrategia de uso y apropiación de TI</v>
      </c>
      <c r="C198" s="310">
        <f>VLOOKUP(A198,'2.1.Atributos MGGTI'!$A$6:$F$207,5,0)</f>
        <v>4</v>
      </c>
      <c r="D198" s="309" t="str">
        <f>VLOOKUP(A198,'2.1.Atributos MGGTI'!$A$6:$D$207,4,0)</f>
        <v>Existe un lineamiento y/o mecanismo sistemático a partir del cual se definen e implementan los esquemas de incentivos que permiten movilizar a los grupos de interés para impulsar la adopción de las capacidades y servicios de TI disponibles.</v>
      </c>
      <c r="E198" s="309" t="str">
        <f>VLOOKUP(A198,'2.1.Atributos MGGTI'!$A$6:$F$207,6,0)</f>
        <v>Uso y apropiación</v>
      </c>
      <c r="F198" s="196">
        <v>1</v>
      </c>
      <c r="G198" s="264"/>
      <c r="H198" s="264"/>
    </row>
    <row r="199" spans="1:8" ht="60" customHeight="1" x14ac:dyDescent="0.2">
      <c r="A199" s="308">
        <v>194</v>
      </c>
      <c r="B199" s="309" t="str">
        <f>VLOOKUP(A199,'2.1.Atributos MGGTI'!$A$6:$F$207,3,0)</f>
        <v>Plan de formación</v>
      </c>
      <c r="C199" s="310">
        <f>VLOOKUP(A199,'2.1.Atributos MGGTI'!$A$6:$F$207,5,0)</f>
        <v>2</v>
      </c>
      <c r="D199" s="309" t="str">
        <f>VLOOKUP(A199,'2.1.Atributos MGGTI'!$A$6:$D$207,4,0)</f>
        <v>Desde la gestión de TI y como parte de la transferencia de conocimiento en el desarrollo de los proyectos con componentes de TI, se ejecutan acciones de formación a las partes interesadas en el uso y administración de los servicios y capacidades de TI que se habilitan.</v>
      </c>
      <c r="E199" s="309" t="str">
        <f>VLOOKUP(A199,'2.1.Atributos MGGTI'!$A$6:$F$207,6,0)</f>
        <v>Uso y apropiación</v>
      </c>
      <c r="F199" s="196">
        <v>1</v>
      </c>
      <c r="G199" s="264"/>
      <c r="H199" s="264"/>
    </row>
    <row r="200" spans="1:8" ht="60" customHeight="1" x14ac:dyDescent="0.2">
      <c r="A200" s="308">
        <v>195</v>
      </c>
      <c r="B200" s="309" t="str">
        <f>VLOOKUP(A200,'2.1.Atributos MGGTI'!$A$6:$F$207,3,0)</f>
        <v>Plan de formación</v>
      </c>
      <c r="C200" s="310">
        <f>VLOOKUP(A200,'2.1.Atributos MGGTI'!$A$6:$F$207,5,0)</f>
        <v>3</v>
      </c>
      <c r="D200" s="309" t="str">
        <f>VLOOKUP(A200,'2.1.Atributos MGGTI'!$A$6:$D$207,4,0)</f>
        <v>Desde la gestión de TI se define y ejecuta un plan de formación que incorpora el desarrollo de competencias requeridas, tanto por los profesionales de TI como por los funcionarios de la entidad, para el desarrollo de sus funciones y hacer un uso adecuado de las capacidades y servicios de TI</v>
      </c>
      <c r="E200" s="309" t="str">
        <f>VLOOKUP(A200,'2.1.Atributos MGGTI'!$A$6:$F$207,6,0)</f>
        <v>Uso y apropiación</v>
      </c>
      <c r="F200" s="196">
        <v>1</v>
      </c>
      <c r="G200" s="264"/>
      <c r="H200" s="264"/>
    </row>
    <row r="201" spans="1:8" ht="60" customHeight="1" x14ac:dyDescent="0.2">
      <c r="A201" s="308">
        <v>196</v>
      </c>
      <c r="B201" s="309" t="str">
        <f>VLOOKUP(A201,'2.1.Atributos MGGTI'!$A$6:$F$207,3,0)</f>
        <v>Plan de formación</v>
      </c>
      <c r="C201" s="310">
        <f>VLOOKUP(A201,'2.1.Atributos MGGTI'!$A$6:$F$207,5,0)</f>
        <v>4</v>
      </c>
      <c r="D201" s="309" t="str">
        <f>VLOOKUP(A201,'2.1.Atributos MGGTI'!$A$6:$D$207,4,0)</f>
        <v xml:space="preserve">El plan de formación para impulsar la apropiación de las capacidades y servicios de TI incluye a todas las partes interesadas, internas y externas a la entidad, y se ejecuta de manera articulada entre TI y las áreas funcionales relacionadas con el servicio y las áreas encargadas de la formación y talento humano en la entidad. </v>
      </c>
      <c r="E201" s="309" t="str">
        <f>VLOOKUP(A201,'2.1.Atributos MGGTI'!$A$6:$F$207,6,0)</f>
        <v>Uso y apropiación</v>
      </c>
      <c r="F201" s="196">
        <v>1</v>
      </c>
      <c r="G201" s="264"/>
      <c r="H201" s="264"/>
    </row>
    <row r="202" spans="1:8" ht="60" customHeight="1" x14ac:dyDescent="0.2">
      <c r="A202" s="308">
        <v>197</v>
      </c>
      <c r="B202" s="309" t="str">
        <f>VLOOKUP(A202,'2.1.Atributos MGGTI'!$A$6:$F$207,3,0)</f>
        <v>Gestión del cambio organizacional</v>
      </c>
      <c r="C202" s="310">
        <f>VLOOKUP(A202,'2.1.Atributos MGGTI'!$A$6:$F$207,5,0)</f>
        <v>4</v>
      </c>
      <c r="D202" s="309" t="str">
        <f>VLOOKUP(A202,'2.1.Atributos MGGTI'!$A$6:$D$207,4,0)</f>
        <v xml:space="preserve">Las acciones de apropiación definidas en  la estrategia de Uso y apropiación de TI se articulan con las acciones y plan de gestión de cambio organizacional. </v>
      </c>
      <c r="E202" s="309" t="str">
        <f>VLOOKUP(A202,'2.1.Atributos MGGTI'!$A$6:$F$207,6,0)</f>
        <v>Uso y apropiación</v>
      </c>
      <c r="F202" s="196">
        <v>1</v>
      </c>
      <c r="G202" s="264"/>
      <c r="H202" s="264"/>
    </row>
    <row r="203" spans="1:8" ht="60" customHeight="1" x14ac:dyDescent="0.2">
      <c r="A203" s="308">
        <v>198</v>
      </c>
      <c r="B203" s="309" t="str">
        <f>VLOOKUP(A203,'2.1.Atributos MGGTI'!$A$6:$F$207,3,0)</f>
        <v>Indicadores y seguimiento</v>
      </c>
      <c r="C203" s="310">
        <f>VLOOKUP(A203,'2.1.Atributos MGGTI'!$A$6:$F$207,5,0)</f>
        <v>2</v>
      </c>
      <c r="D203" s="309" t="str">
        <f>VLOOKUP(A203,'2.1.Atributos MGGTI'!$A$6:$D$207,4,0)</f>
        <v xml:space="preserve">Desde la gestión de TI se  definen y miden indicadores de uso y apropiación para evaluar el nivel de adopción y la satisfacción sobre el uso de las capacidades y servicios de TI.  </v>
      </c>
      <c r="E203" s="309" t="str">
        <f>VLOOKUP(A203,'2.1.Atributos MGGTI'!$A$6:$F$207,6,0)</f>
        <v>Uso y apropiación</v>
      </c>
      <c r="F203" s="196">
        <v>1</v>
      </c>
      <c r="G203" s="264"/>
      <c r="H203" s="264"/>
    </row>
    <row r="204" spans="1:8" ht="60" customHeight="1" x14ac:dyDescent="0.2">
      <c r="A204" s="308">
        <v>199</v>
      </c>
      <c r="B204" s="309" t="str">
        <f>VLOOKUP(A204,'2.1.Atributos MGGTI'!$A$6:$F$207,3,0)</f>
        <v>Indicadores y seguimiento</v>
      </c>
      <c r="C204" s="310">
        <f>VLOOKUP(A204,'2.1.Atributos MGGTI'!$A$6:$F$207,5,0)</f>
        <v>3</v>
      </c>
      <c r="D204" s="309" t="str">
        <f>VLOOKUP(A204,'2.1.Atributos MGGTI'!$A$6:$D$207,4,0)</f>
        <v xml:space="preserve">Existe un mecanismo o prodecimiento para definir y medir de manera sistemática y periódica los indicadores de resultado sobre las acciones de uso y apropiación de TI en función del nivel de uso y nivel de satisfacción de las capacidades y servicios de TI. </v>
      </c>
      <c r="E204" s="309" t="str">
        <f>VLOOKUP(A204,'2.1.Atributos MGGTI'!$A$6:$F$207,6,0)</f>
        <v>Uso y apropiación</v>
      </c>
      <c r="F204" s="196">
        <v>1</v>
      </c>
      <c r="G204" s="264"/>
      <c r="H204" s="264"/>
    </row>
    <row r="205" spans="1:8" ht="60" customHeight="1" x14ac:dyDescent="0.2">
      <c r="A205" s="308">
        <v>200</v>
      </c>
      <c r="B205" s="309" t="str">
        <f>VLOOKUP(A205,'2.1.Atributos MGGTI'!$A$6:$F$207,3,0)</f>
        <v>Indicadores y seguimiento</v>
      </c>
      <c r="C205" s="310">
        <f>VLOOKUP(A205,'2.1.Atributos MGGTI'!$A$6:$F$207,5,0)</f>
        <v>4</v>
      </c>
      <c r="D205" s="309" t="str">
        <f>VLOOKUP(A205,'2.1.Atributos MGGTI'!$A$6:$D$207,4,0)</f>
        <v>Se realiza monitoreo y evaluación a los indicadores de uso y apropiación de TI</v>
      </c>
      <c r="E205" s="309" t="str">
        <f>VLOOKUP(A205,'2.1.Atributos MGGTI'!$A$6:$F$207,6,0)</f>
        <v>Uso y apropiación</v>
      </c>
      <c r="F205" s="196">
        <v>1</v>
      </c>
      <c r="G205" s="264"/>
      <c r="H205" s="264"/>
    </row>
    <row r="206" spans="1:8" ht="50.1" customHeight="1" x14ac:dyDescent="0.2">
      <c r="A206" s="308">
        <v>201</v>
      </c>
      <c r="B206" s="309" t="str">
        <f>VLOOKUP(A206,'2.1.Atributos MGGTI'!$A$6:$F$207,3,0)</f>
        <v>Indicadores y seguimiento</v>
      </c>
      <c r="C206" s="310">
        <f>VLOOKUP(A206,'2.1.Atributos MGGTI'!$A$6:$F$207,5,0)</f>
        <v>5</v>
      </c>
      <c r="D206" s="309" t="str">
        <f>VLOOKUP(A206,'2.1.Atributos MGGTI'!$A$6:$D$207,4,0)</f>
        <v xml:space="preserve">Se realiza mejoramiento continúo en las capacidades y servicios de TI y en las acciones de uso y apropiación a partir de los hallazgos encontrados en los indicadores de uso y apropiación. </v>
      </c>
      <c r="E206" s="309" t="str">
        <f>VLOOKUP(A206,'2.1.Atributos MGGTI'!$A$6:$F$207,6,0)</f>
        <v>Uso y apropiación</v>
      </c>
      <c r="F206" s="196">
        <v>1</v>
      </c>
      <c r="G206" s="264"/>
      <c r="H206" s="264"/>
    </row>
  </sheetData>
  <sheetProtection algorithmName="SHA-512" hashValue="CUIa/GpcUIYHlxHYNZw/zLZ/joNnqDxIBx0vlrYXduqJLac4Xrw6stjg+spmzx4iM8Q+uRV/A7Vl2sK4+Ulxmg==" saltValue="OQlfxkvll/ShE37Gv4fzWw==" spinCount="100000" autoFilter="0" pivotTables="0"/>
  <autoFilter ref="A5:H206" xr:uid="{F5DE28E7-810D-6845-8343-81A40065AB6A}"/>
  <mergeCells count="2">
    <mergeCell ref="A2:H2"/>
    <mergeCell ref="G4:H4"/>
  </mergeCells>
  <dataValidations count="1">
    <dataValidation type="list" allowBlank="1" showInputMessage="1" showErrorMessage="1" sqref="F6:F206" xr:uid="{6F85368A-2C2A-CB49-A0DA-81BC9BAB17B9}">
      <mc:AlternateContent xmlns:x12ac="http://schemas.microsoft.com/office/spreadsheetml/2011/1/ac" xmlns:mc="http://schemas.openxmlformats.org/markup-compatibility/2006">
        <mc:Choice Requires="x12ac">
          <x12ac:list>0,"0,5",1</x12ac:list>
        </mc:Choice>
        <mc:Fallback>
          <formula1>"0,0,5,1"</formula1>
        </mc:Fallback>
      </mc:AlternateContent>
    </dataValidation>
  </dataValidations>
  <hyperlinks>
    <hyperlink ref="A1" location="Inicio!A1" display="Inicio" xr:uid="{0C565FBD-F773-5442-937C-DA44DDBB17BA}"/>
  </hyperlinks>
  <pageMargins left="0.7" right="0.7" top="0.75" bottom="0.75" header="0.3" footer="0.3"/>
  <pageSetup orientation="portrait" horizontalDpi="0" verticalDpi="0"/>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12FB-5F51-E54E-907D-FC929A5C0420}">
  <sheetPr codeName="Hoja10"/>
  <dimension ref="A1:J72"/>
  <sheetViews>
    <sheetView showGridLines="0" zoomScale="85" zoomScaleNormal="85" workbookViewId="0"/>
  </sheetViews>
  <sheetFormatPr baseColWidth="10" defaultColWidth="11" defaultRowHeight="15.75" x14ac:dyDescent="0.25"/>
  <cols>
    <col min="1" max="1" width="27.125" customWidth="1"/>
    <col min="2" max="2" width="7.125" customWidth="1"/>
    <col min="3" max="3" width="37" customWidth="1"/>
    <col min="4" max="4" width="38.125" customWidth="1"/>
    <col min="5" max="5" width="23.5" customWidth="1"/>
    <col min="6" max="6" width="20.5" bestFit="1" customWidth="1"/>
    <col min="7" max="7" width="25.375" customWidth="1"/>
    <col min="8" max="8" width="22.375" bestFit="1" customWidth="1"/>
    <col min="9" max="9" width="15.875" bestFit="1" customWidth="1"/>
    <col min="10" max="10" width="20.625" customWidth="1"/>
  </cols>
  <sheetData>
    <row r="1" spans="1:10" x14ac:dyDescent="0.25">
      <c r="A1" s="273" t="s">
        <v>52</v>
      </c>
    </row>
    <row r="2" spans="1:10" x14ac:dyDescent="0.25">
      <c r="B2" s="369" t="s">
        <v>604</v>
      </c>
      <c r="C2" s="369"/>
      <c r="D2" s="369"/>
      <c r="E2" s="369"/>
      <c r="F2" s="369"/>
      <c r="G2" s="369"/>
      <c r="H2" s="369"/>
    </row>
    <row r="3" spans="1:10" x14ac:dyDescent="0.25">
      <c r="B3" s="369"/>
      <c r="C3" s="369"/>
      <c r="D3" s="369"/>
      <c r="E3" s="369"/>
      <c r="F3" s="369"/>
      <c r="G3" s="369"/>
      <c r="H3" s="369"/>
    </row>
    <row r="4" spans="1:10" x14ac:dyDescent="0.25">
      <c r="B4" s="369"/>
      <c r="C4" s="369"/>
      <c r="D4" s="369"/>
      <c r="E4" s="369"/>
      <c r="F4" s="369"/>
      <c r="G4" s="369"/>
      <c r="H4" s="369"/>
    </row>
    <row r="5" spans="1:10" x14ac:dyDescent="0.25">
      <c r="B5" s="369"/>
      <c r="C5" s="369"/>
      <c r="D5" s="369"/>
      <c r="E5" s="369"/>
      <c r="F5" s="369"/>
      <c r="G5" s="369"/>
      <c r="H5" s="369"/>
    </row>
    <row r="6" spans="1:10" x14ac:dyDescent="0.25">
      <c r="B6" s="369"/>
      <c r="C6" s="369"/>
      <c r="D6" s="369"/>
      <c r="E6" s="369"/>
      <c r="F6" s="369"/>
      <c r="G6" s="369"/>
      <c r="H6" s="369"/>
    </row>
    <row r="10" spans="1:10" ht="0.95" customHeight="1" x14ac:dyDescent="0.25"/>
    <row r="11" spans="1:10" hidden="1" x14ac:dyDescent="0.25"/>
    <row r="12" spans="1:10" hidden="1" x14ac:dyDescent="0.25"/>
    <row r="13" spans="1:10" hidden="1" x14ac:dyDescent="0.25"/>
    <row r="14" spans="1:10" ht="254.1" customHeight="1" x14ac:dyDescent="0.25">
      <c r="C14" s="365"/>
      <c r="D14" s="365"/>
      <c r="E14" s="365"/>
      <c r="F14" s="365"/>
      <c r="G14" s="365"/>
      <c r="H14" s="365"/>
      <c r="I14" s="365"/>
      <c r="J14" s="9"/>
    </row>
    <row r="16" spans="1:10" x14ac:dyDescent="0.25">
      <c r="D16" s="2"/>
      <c r="E16" s="2"/>
      <c r="F16" s="2"/>
      <c r="G16" s="2"/>
      <c r="H16" s="2"/>
    </row>
    <row r="17" spans="3:10" ht="16.5" thickBot="1" x14ac:dyDescent="0.3">
      <c r="D17" s="2"/>
      <c r="E17" s="2"/>
      <c r="F17" s="2"/>
      <c r="G17" s="2"/>
      <c r="H17" s="2"/>
    </row>
    <row r="18" spans="3:10" ht="18" customHeight="1" thickBot="1" x14ac:dyDescent="0.3">
      <c r="C18" s="398" t="s">
        <v>605</v>
      </c>
      <c r="D18" s="166">
        <v>1</v>
      </c>
      <c r="E18" s="167">
        <v>2</v>
      </c>
      <c r="F18" s="167">
        <v>3</v>
      </c>
      <c r="G18" s="167">
        <v>4</v>
      </c>
      <c r="H18" s="188">
        <v>5</v>
      </c>
      <c r="I18" s="189" t="s">
        <v>192</v>
      </c>
      <c r="J18" s="7"/>
    </row>
    <row r="19" spans="3:10" ht="16.5" thickBot="1" x14ac:dyDescent="0.3">
      <c r="C19" s="399"/>
      <c r="D19" s="165" t="s">
        <v>606</v>
      </c>
      <c r="E19" s="165" t="s">
        <v>607</v>
      </c>
      <c r="F19" s="165" t="s">
        <v>608</v>
      </c>
      <c r="G19" s="165" t="s">
        <v>195</v>
      </c>
      <c r="H19" s="165" t="s">
        <v>197</v>
      </c>
      <c r="I19" s="70">
        <f>AVERAGE(I20:I23)</f>
        <v>5</v>
      </c>
      <c r="J19" s="7"/>
    </row>
    <row r="20" spans="3:10" x14ac:dyDescent="0.25">
      <c r="C20" s="57" t="s">
        <v>157</v>
      </c>
      <c r="D20" s="335" t="str">
        <f>IF(AND(PR_MGPTI_CONTEXTO&gt;0,PR_MGPTI_CONTEXTO&lt;=1),PR_MGPTI_CONTEXTO,"")</f>
        <v/>
      </c>
      <c r="E20" s="335" t="str">
        <f>IF(AND(PR_MGPTI_CONTEXTO&gt;1,PR_MGPTI_CONTEXTO&lt;=2),PR_MGPTI_CONTEXTO,"")</f>
        <v/>
      </c>
      <c r="F20" s="335" t="str">
        <f>IF(AND(PR_MGPTI_CONTEXTO&gt;2,PR_MGPTI_CONTEXTO&lt;=3),PR_MGPTI_CONTEXTO,"")</f>
        <v/>
      </c>
      <c r="G20" s="335" t="str">
        <f>IF(AND(PR_MGPTI_CONTEXTO&gt;3,PR_MGPTI_CONTEXTO&lt;=4),PR_MGPTI_CONTEXTO,"")</f>
        <v/>
      </c>
      <c r="H20" s="335">
        <f>IF(AND(PR_MGPTI_CONTEXTO&gt;4,PR_MGPTI_CONTEXTO&lt;=5),PR_MGPTI_CONTEXTO,"")</f>
        <v>5</v>
      </c>
      <c r="I20" s="169">
        <f t="shared" ref="I20:I23" si="0">SUM(D20:H20)</f>
        <v>5</v>
      </c>
    </row>
    <row r="21" spans="3:10" x14ac:dyDescent="0.25">
      <c r="C21" s="26" t="s">
        <v>165</v>
      </c>
      <c r="D21" s="335" t="str">
        <f>IF(AND(PR_MGPTI_PLANEACION&gt;0,PR_MGPTI_PLANEACION&lt;=1),PR_MGPTI_PLANEACION,"")</f>
        <v/>
      </c>
      <c r="E21" s="335" t="str">
        <f>IF(AND(PR_MGPTI_PLANEACION&gt;0,PR_MGPTI_PLANEACION&lt;=2),PR_MGPTI_PLANEACION,"")</f>
        <v/>
      </c>
      <c r="F21" s="335" t="str">
        <f>IF(AND(PR_MGPTI_PLANEACION&gt;2,PR_MGPTI_PLANEACION&lt;=3),PR_MGPTI_PLANEACION,"")</f>
        <v/>
      </c>
      <c r="G21" s="335" t="str">
        <f>IF(AND(PR_MGPTI_PLANEACION&gt;3,PR_MGPTI_PLANEACION&lt;=4),PR_MGPTI_PLANEACION,"")</f>
        <v/>
      </c>
      <c r="H21" s="335">
        <f>IF(AND(PR_MGPTI_PLANEACION&gt;4,PR_MGPTI_PLANEACION&lt;=5),PR_MGPTI_PLANEACION,"")</f>
        <v>5</v>
      </c>
      <c r="I21" s="68">
        <f t="shared" si="0"/>
        <v>5</v>
      </c>
    </row>
    <row r="22" spans="3:10" x14ac:dyDescent="0.25">
      <c r="C22" s="26" t="s">
        <v>176</v>
      </c>
      <c r="D22" s="335" t="str">
        <f>IF(AND(PR_MGPTI_EJECUCION&gt;0,PR_MGPTI_EJECUCION&lt;=1),PR_MGPTI_EJECUCION,"")</f>
        <v/>
      </c>
      <c r="E22" s="335" t="str">
        <f>IF(AND(PR_MGPTI_EJECUCION&gt;2,PR_MGPTI_EJECUCION&lt;=2),PR_MGPTI_EJECUCION,"")</f>
        <v/>
      </c>
      <c r="F22" s="335" t="str">
        <f>IF(AND(PR_MGPTI_EJECUCION&gt;2,PR_MGPTI_EJECUCION&lt;=3),PR_MGPTI_EJECUCION,"")</f>
        <v/>
      </c>
      <c r="G22" s="335" t="str">
        <f>IF(AND(PR_MGPTI_EJECUCION&gt;3,PR_MGPTI_EJECUCION&lt;=4),PR_MGPTI_EJECUCION,"")</f>
        <v/>
      </c>
      <c r="H22" s="335">
        <f>IF(AND(PR_MGPTI_EJECUCION&gt;4,PR_MGPTI_EJECUCION&lt;=5),PR_MGPTI_EJECUCION,"")</f>
        <v>5</v>
      </c>
      <c r="I22" s="68">
        <f t="shared" si="0"/>
        <v>5</v>
      </c>
    </row>
    <row r="23" spans="3:10" ht="16.5" thickBot="1" x14ac:dyDescent="0.3">
      <c r="C23" s="58" t="s">
        <v>184</v>
      </c>
      <c r="D23" s="335" t="str">
        <f>IF(AND(PR_MGPTI_CIERRE&gt;0,PR_MGPTI_CIERRE&lt;=1),PR_MGPTI_CIERRE,"")</f>
        <v/>
      </c>
      <c r="E23" s="335" t="str">
        <f>IF(AND(PR_MGPTI_CIERRE&gt;1,PR_MGPTI_CIERRE&lt;=2),PR_MGPTI_CIERRE,"")</f>
        <v/>
      </c>
      <c r="F23" s="335" t="str">
        <f>IF(AND(PR_MGPTI_CIERRE&gt;2,PR_MGPTI_CIERRE&lt;=3),PR_MGPTI_CIERRE,"")</f>
        <v/>
      </c>
      <c r="G23" s="335" t="str">
        <f>IF(AND(PR_MGPTI_CIERRE&gt;3,PR_MGPTI_CIERRE&lt;=4),PR_MGPTI_CIERRE,"")</f>
        <v/>
      </c>
      <c r="H23" s="335">
        <f>IF(AND(PR_MGPTI_CIERRE&gt;4,PR_MGPTI_CIERRE&lt;=5),PR_MGPTI_CIERRE,"")</f>
        <v>5</v>
      </c>
      <c r="I23" s="69">
        <f t="shared" si="0"/>
        <v>5</v>
      </c>
    </row>
    <row r="24" spans="3:10" x14ac:dyDescent="0.25">
      <c r="G24" s="1"/>
    </row>
    <row r="25" spans="3:10" x14ac:dyDescent="0.25">
      <c r="G25" s="1"/>
    </row>
    <row r="26" spans="3:10" ht="378.95" customHeight="1" x14ac:dyDescent="0.25">
      <c r="C26" s="365"/>
      <c r="D26" s="365"/>
      <c r="E26" s="365"/>
      <c r="F26" s="365"/>
      <c r="G26" s="365"/>
      <c r="H26" s="365"/>
      <c r="I26" s="365"/>
    </row>
    <row r="27" spans="3:10" x14ac:dyDescent="0.25">
      <c r="C27" s="3"/>
    </row>
    <row r="29" spans="3:10" ht="16.5" thickBot="1" x14ac:dyDescent="0.3"/>
    <row r="30" spans="3:10" ht="16.5" thickBot="1" x14ac:dyDescent="0.3">
      <c r="C30" s="398" t="s">
        <v>157</v>
      </c>
      <c r="D30" s="182">
        <v>1</v>
      </c>
      <c r="E30" s="183">
        <v>2</v>
      </c>
      <c r="F30" s="183">
        <v>3</v>
      </c>
      <c r="G30" s="183">
        <v>4</v>
      </c>
      <c r="H30" s="184">
        <v>5</v>
      </c>
      <c r="I30" s="168" t="s">
        <v>192</v>
      </c>
    </row>
    <row r="31" spans="3:10" ht="16.5" thickBot="1" x14ac:dyDescent="0.3">
      <c r="C31" s="400"/>
      <c r="D31" s="163" t="s">
        <v>193</v>
      </c>
      <c r="E31" s="163" t="s">
        <v>194</v>
      </c>
      <c r="F31" s="163" t="s">
        <v>195</v>
      </c>
      <c r="G31" s="163" t="s">
        <v>196</v>
      </c>
      <c r="H31" s="163" t="s">
        <v>197</v>
      </c>
      <c r="I31" s="70">
        <f>AVERAGE(I32:I34)</f>
        <v>5</v>
      </c>
    </row>
    <row r="32" spans="3:10" x14ac:dyDescent="0.25">
      <c r="C32" s="171" t="s">
        <v>158</v>
      </c>
      <c r="D32" s="335" t="str">
        <f>IF(AND(AVERAGE(MGPTI_CE_Motivadores)&gt;0,AVERAGE(MGPTI_CE_Motivadores)&lt;=1),AVERAGE(MGPTI_CE_Motivadores),"")</f>
        <v/>
      </c>
      <c r="E32" s="335" t="str">
        <f>IF(AND(AVERAGE(MGPTI_CE_Motivadores)&gt;1,AVERAGE(MGPTI_CE_Motivadores)&lt;=2),AVERAGE(MGPTI_CE_Motivadores),"")</f>
        <v/>
      </c>
      <c r="F32" s="335" t="str">
        <f>IF(AND(AVERAGE(MGPTI_CE_Motivadores)&gt;2,AVERAGE(MGPTI_CE_Motivadores)&lt;=3),AVERAGE(MGPTI_CE_Motivadores),"")</f>
        <v/>
      </c>
      <c r="G32" s="335" t="str">
        <f>IF(AND(AVERAGE(MGPTI_CE_Motivadores)&gt;3,AVERAGE(MGPTI_CE_Motivadores)&lt;=4),AVERAGE(MGPTI_CE_Motivadores),"")</f>
        <v/>
      </c>
      <c r="H32" s="335">
        <f>IF(AND(AVERAGE(MGPTI_CE_Motivadores)&gt;4,AVERAGE(MGPTI_CE_Motivadores)&lt;=5),AVERAGE(MGPTI_CE_Motivadores),"")</f>
        <v>5</v>
      </c>
      <c r="I32" s="179">
        <f>SUM(D32:H32)</f>
        <v>5</v>
      </c>
    </row>
    <row r="33" spans="3:9" x14ac:dyDescent="0.25">
      <c r="C33" s="173" t="s">
        <v>159</v>
      </c>
      <c r="D33" s="335" t="str">
        <f>IF(AND(AVERAGE(MGPTI_CE_Capacidad)&gt;0,AVERAGE(MGPTI_CE_Capacidad)&lt;=1),AVERAGE(MGPTI_CE_Capacidad),"")</f>
        <v/>
      </c>
      <c r="E33" s="335" t="str">
        <f>IF(AND(AVERAGE(MGPTI_CE_Capacidad)&gt;1,AVERAGE(MGPTI_CE_Capacidad)&lt;=2),AVERAGE(MGPTI_CE_Capacidad),"")</f>
        <v/>
      </c>
      <c r="F33" s="335" t="str">
        <f>IF(AND(AVERAGE(MGPTI_CE_Capacidad)&gt;2,AVERAGE(MGPTI_CE_Capacidad)&lt;=3),AVERAGE(MGPTI_CE_Capacidad),"")</f>
        <v/>
      </c>
      <c r="G33" s="335" t="str">
        <f>IF(AND(AVERAGE(MGPTI_CE_Capacidad)&gt;3,AVERAGE(MGPTI_CE_Capacidad)&lt;=4),AVERAGE(MGPTI_CE_Capacidad),"")</f>
        <v/>
      </c>
      <c r="H33" s="335">
        <f>IF(AND(AVERAGE(MGPTI_CE_Capacidad)&gt;4,AVERAGE(MGPTI_CE_Capacidad)&lt;=5),AVERAGE(MGPTI_CE_Capacidad),"")</f>
        <v>5</v>
      </c>
      <c r="I33" s="180">
        <f t="shared" ref="I33:I34" si="1">SUM(D33:H33)</f>
        <v>5</v>
      </c>
    </row>
    <row r="34" spans="3:9" ht="16.5" thickBot="1" x14ac:dyDescent="0.3">
      <c r="C34" s="174" t="s">
        <v>160</v>
      </c>
      <c r="D34" s="335" t="str">
        <f>IF(AND(AVERAGE(MGPTI_CE_Enfoque)&gt;0,AVERAGE(MGPTI_CE_Enfoque)&lt;=1),AVERAGE(MGPTI_CE_Enfoque),"")</f>
        <v/>
      </c>
      <c r="E34" s="335" t="str">
        <f>IF(AND(AVERAGE(MGPTI_CE_Enfoque)&gt;1,AVERAGE(MGPTI_CE_Enfoque)&lt;=2),AVERAGE(MGPTI_CE_Enfoque),"")</f>
        <v/>
      </c>
      <c r="F34" s="335" t="str">
        <f>IF(AND(AVERAGE(MGPTI_CE_Enfoque)&gt;2,AVERAGE(MGPTI_CE_Enfoque)&lt;=3),AVERAGE(MGPTI_CE_Enfoque),"")</f>
        <v/>
      </c>
      <c r="G34" s="335" t="str">
        <f>IF(AND(AVERAGE(MGPTI_CE_Enfoque)&gt;3,AVERAGE(MGPTI_CE_Enfoque)&lt;=4),AVERAGE(MGPTI_CE_Enfoque),"")</f>
        <v/>
      </c>
      <c r="H34" s="335">
        <f>IF(AND(AVERAGE(MGPTI_CE_Enfoque)&gt;4,AVERAGE(MGPTI_CE_Enfoque)&lt;=5),AVERAGE(MGPTI_CE_Enfoque),"")</f>
        <v>5</v>
      </c>
      <c r="I34" s="181">
        <f t="shared" si="1"/>
        <v>5</v>
      </c>
    </row>
    <row r="36" spans="3:9" x14ac:dyDescent="0.25">
      <c r="G36" s="1"/>
      <c r="H36" s="5"/>
    </row>
    <row r="37" spans="3:9" ht="399.95" customHeight="1" x14ac:dyDescent="0.25">
      <c r="C37" s="365"/>
      <c r="D37" s="365"/>
      <c r="E37" s="365"/>
      <c r="F37" s="365"/>
      <c r="G37" s="365"/>
      <c r="H37" s="365"/>
      <c r="I37" s="365"/>
    </row>
    <row r="38" spans="3:9" x14ac:dyDescent="0.25">
      <c r="G38" s="1"/>
      <c r="H38" s="5"/>
    </row>
    <row r="40" spans="3:9" ht="16.5" thickBot="1" x14ac:dyDescent="0.3"/>
    <row r="41" spans="3:9" ht="16.5" thickBot="1" x14ac:dyDescent="0.3">
      <c r="C41" s="401" t="s">
        <v>165</v>
      </c>
      <c r="D41" s="191">
        <v>1</v>
      </c>
      <c r="E41" s="192">
        <v>2</v>
      </c>
      <c r="F41" s="192">
        <v>3</v>
      </c>
      <c r="G41" s="192">
        <v>4</v>
      </c>
      <c r="H41" s="193">
        <v>5</v>
      </c>
      <c r="I41" s="168" t="s">
        <v>192</v>
      </c>
    </row>
    <row r="42" spans="3:9" ht="16.5" thickBot="1" x14ac:dyDescent="0.3">
      <c r="C42" s="402"/>
      <c r="D42" s="185" t="s">
        <v>193</v>
      </c>
      <c r="E42" s="165" t="s">
        <v>194</v>
      </c>
      <c r="F42" s="165" t="s">
        <v>195</v>
      </c>
      <c r="G42" s="165" t="s">
        <v>196</v>
      </c>
      <c r="H42" s="190" t="s">
        <v>197</v>
      </c>
      <c r="I42" s="70">
        <f>AVERAGE(I43:I47)</f>
        <v>5</v>
      </c>
    </row>
    <row r="43" spans="3:9" x14ac:dyDescent="0.25">
      <c r="C43" s="171" t="s">
        <v>166</v>
      </c>
      <c r="D43" s="335" t="str">
        <f>IF(AND(AVERAGE(MGPTI_PL_Interesados)&gt;0,AVERAGE(MGPTI_PL_Interesados)&lt;=1),AVERAGE(MGPTI_PL_Interesados),"")</f>
        <v/>
      </c>
      <c r="E43" s="335" t="str">
        <f>IF(AND(AVERAGE(MGPTI_PL_Interesados)&gt;1,AVERAGE(MGPTI_PL_Interesados)&lt;=2),AVERAGE(MGPTI_PL_Interesados),"")</f>
        <v/>
      </c>
      <c r="F43" s="335" t="str">
        <f>IF(AND(AVERAGE(MGPTI_PL_Interesados)&gt;2,AVERAGE(MGPTI_PL_Interesados)&lt;=3),AVERAGE(MGPTI_PL_Interesados),"")</f>
        <v/>
      </c>
      <c r="G43" s="335" t="str">
        <f>IF(AND(AVERAGE(MGPTI_PL_Interesados)&gt;3,AVERAGE(MGPTI_PL_Interesados)&lt;=4),AVERAGE(MGPTI_PL_Interesados),"")</f>
        <v/>
      </c>
      <c r="H43" s="335">
        <f>IF(AND(AVERAGE(MGPTI_PL_Interesados)&gt;4,AVERAGE(MGPTI_PL_Interesados)&lt;=5),AVERAGE(MGPTI_PL_Interesados),"")</f>
        <v>5</v>
      </c>
      <c r="I43" s="179">
        <f t="shared" ref="I43:I47" si="2">SUM(D43:H43)</f>
        <v>5</v>
      </c>
    </row>
    <row r="44" spans="3:9" x14ac:dyDescent="0.25">
      <c r="C44" s="186" t="s">
        <v>167</v>
      </c>
      <c r="D44" s="335" t="str">
        <f>IF(AND(AVERAGE(MGPTI_PL_Alcance)&gt;0,AVERAGE(MGPTI_PL_Alcance)&lt;=1),AVERAGE(MGPTI_PL_Alcance),"")</f>
        <v/>
      </c>
      <c r="E44" s="335" t="str">
        <f>IF(AND(AVERAGE(MGPTI_PL_Alcance)&gt;1,AVERAGE(MGPTI_PL_Alcance)&lt;=2),AVERAGE(MGPTI_PL_Alcance),"")</f>
        <v/>
      </c>
      <c r="F44" s="335" t="str">
        <f>IF(AND(AVERAGE(MGPTI_PL_Alcance)&gt;2,AVERAGE(MGPTI_PL_Alcance)&lt;=3),AVERAGE(MGPTI_PL_Alcance),"")</f>
        <v/>
      </c>
      <c r="G44" s="335" t="str">
        <f>IF(AND(AVERAGE(MGPTI_PL_Alcance)&gt;3,AVERAGE(MGPTI_PL_Alcance)&lt;=4),AVERAGE(MGPTI_PL_Alcance),"")</f>
        <v/>
      </c>
      <c r="H44" s="335">
        <f>IF(AND(AVERAGE(MGPTI_PL_Alcance)&gt;4,AVERAGE(MGPTI_PL_Alcance)&lt;=5),AVERAGE(MGPTI_PL_Alcance),"")</f>
        <v>5</v>
      </c>
      <c r="I44" s="180">
        <f t="shared" si="2"/>
        <v>5</v>
      </c>
    </row>
    <row r="45" spans="3:9" x14ac:dyDescent="0.25">
      <c r="C45" s="186" t="s">
        <v>168</v>
      </c>
      <c r="D45" s="335" t="str">
        <f>IF(AND(AVERAGE(MGPTI_PL_Recursos)&gt;0,AVERAGE(MGPTI_PL_Recursos)&lt;=1),AVERAGE(MGPTI_PL_Recursos),"")</f>
        <v/>
      </c>
      <c r="E45" s="335" t="str">
        <f>IF(AND(AVERAGE(MGPTI_PL_Recursos)&gt;1,AVERAGE(MGPTI_PL_Recursos)&lt;=2),AVERAGE(MGPTI_PL_Recursos),"")</f>
        <v/>
      </c>
      <c r="F45" s="335" t="str">
        <f>IF(AND(AVERAGE(MGPTI_PL_Recursos)&gt;2,AVERAGE(MGPTI_PL_Recursos)&lt;=3),AVERAGE(MGPTI_PL_Recursos),"")</f>
        <v/>
      </c>
      <c r="G45" s="335" t="str">
        <f>IF(AND(AVERAGE(MGPTI_PL_Recursos)&gt;3,AVERAGE(MGPTI_PL_Recursos)&lt;=4),AVERAGE(MGPTI_PL_Recursos),"")</f>
        <v/>
      </c>
      <c r="H45" s="335">
        <f>IF(AND(AVERAGE(MGPTI_PL_Recursos)&gt;4,AVERAGE(MGPTI_PL_Recursos)&lt;=5),AVERAGE(MGPTI_PL_Recursos),"")</f>
        <v>5</v>
      </c>
      <c r="I45" s="180">
        <f t="shared" si="2"/>
        <v>5</v>
      </c>
    </row>
    <row r="46" spans="3:9" x14ac:dyDescent="0.25">
      <c r="C46" s="186" t="s">
        <v>122</v>
      </c>
      <c r="D46" s="335" t="str">
        <f>IF(AND(AVERAGE(MGPTI_PL_Calidad)&gt;0,AVERAGE(MGPTI_PL_Calidad)&lt;=1),AVERAGE(MGPTI_PL_Calidad),"")</f>
        <v/>
      </c>
      <c r="E46" s="335" t="str">
        <f>IF(AND(AVERAGE(MGPTI_PL_Calidad)&gt;1,AVERAGE(MGPTI_PL_Calidad)&lt;=2),AVERAGE(MGPTI_PL_Calidad),"")</f>
        <v/>
      </c>
      <c r="F46" s="335" t="str">
        <f>IF(AND(AVERAGE(MGPTI_PL_Calidad)&gt;2,AVERAGE(MGPTI_PL_Calidad)&lt;=3),AVERAGE(MGPTI_PL_Calidad),"")</f>
        <v/>
      </c>
      <c r="G46" s="335" t="str">
        <f>IF(AND(AVERAGE(MGPTI_PL_Calidad)&gt;3,AVERAGE(MGPTI_PL_Calidad)&lt;=4),AVERAGE(MGPTI_PL_Calidad),"")</f>
        <v/>
      </c>
      <c r="H46" s="335">
        <f>IF(AND(AVERAGE(MGPTI_PL_Calidad)&gt;4,AVERAGE(MGPTI_PL_Calidad)&lt;=5),AVERAGE(MGPTI_PL_Calidad),"")</f>
        <v>5</v>
      </c>
      <c r="I46" s="180">
        <f t="shared" si="2"/>
        <v>5</v>
      </c>
    </row>
    <row r="47" spans="3:9" ht="16.5" thickBot="1" x14ac:dyDescent="0.3">
      <c r="C47" s="187" t="s">
        <v>169</v>
      </c>
      <c r="D47" s="335" t="str">
        <f>IF(AND(AVERAGE(MGPTI_PL_Riesgos)&gt;0,AVERAGE(MGPTI_PL_Riesgos)&lt;=1),AVERAGE(MGPTI_PL_Riesgos),"")</f>
        <v/>
      </c>
      <c r="E47" s="335" t="str">
        <f>IF(AND(AVERAGE(MGPTI_PL_Riesgos)&gt;1,AVERAGE(MGPTI_PL_Riesgos)&lt;=2),AVERAGE(MGPTI_PL_Riesgos),"")</f>
        <v/>
      </c>
      <c r="F47" s="335" t="str">
        <f>IF(AND(AVERAGE(MGPTI_PL_Riesgos)&gt;2,AVERAGE(MGPTI_PL_Riesgos)&lt;=3),AVERAGE(MGPTI_PL_Riesgos),"")</f>
        <v/>
      </c>
      <c r="G47" s="335" t="str">
        <f>IF(AND(AVERAGE(MGPTI_PL_Riesgos)&gt;3,AVERAGE(MGPTI_PL_Riesgos)&lt;=4),AVERAGE(MGPTI_PL_Riesgos),"")</f>
        <v/>
      </c>
      <c r="H47" s="335">
        <f>IF(AND(AVERAGE(MGPTI_PL_Riesgos)&gt;4,AVERAGE(MGPTI_PL_Riesgos)&lt;=5),AVERAGE(MGPTI_PL_Riesgos),"")</f>
        <v>5</v>
      </c>
      <c r="I47" s="181">
        <f t="shared" si="2"/>
        <v>5</v>
      </c>
    </row>
    <row r="48" spans="3:9" x14ac:dyDescent="0.25">
      <c r="H48" s="1"/>
      <c r="I48" s="1"/>
    </row>
    <row r="49" spans="3:9" x14ac:dyDescent="0.25">
      <c r="H49" s="1"/>
      <c r="I49" s="5"/>
    </row>
    <row r="50" spans="3:9" ht="387.95" customHeight="1" x14ac:dyDescent="0.25">
      <c r="C50" s="365"/>
      <c r="D50" s="365"/>
      <c r="E50" s="365"/>
      <c r="F50" s="365"/>
      <c r="G50" s="365"/>
      <c r="H50" s="365"/>
      <c r="I50" s="365"/>
    </row>
    <row r="53" spans="3:9" ht="16.5" thickBot="1" x14ac:dyDescent="0.3"/>
    <row r="54" spans="3:9" ht="16.5" thickBot="1" x14ac:dyDescent="0.3">
      <c r="C54" s="401" t="s">
        <v>176</v>
      </c>
      <c r="D54" s="194">
        <v>1</v>
      </c>
      <c r="E54" s="175">
        <v>2</v>
      </c>
      <c r="F54" s="175">
        <v>3</v>
      </c>
      <c r="G54" s="175">
        <v>4</v>
      </c>
      <c r="H54" s="176">
        <v>5</v>
      </c>
      <c r="I54" s="168" t="s">
        <v>192</v>
      </c>
    </row>
    <row r="55" spans="3:9" ht="16.5" thickBot="1" x14ac:dyDescent="0.3">
      <c r="C55" s="402"/>
      <c r="D55" s="195" t="s">
        <v>193</v>
      </c>
      <c r="E55" s="165" t="s">
        <v>194</v>
      </c>
      <c r="F55" s="165" t="s">
        <v>195</v>
      </c>
      <c r="G55" s="165" t="s">
        <v>196</v>
      </c>
      <c r="H55" s="190" t="s">
        <v>197</v>
      </c>
      <c r="I55" s="70">
        <f>AVERAGE(I56:I60)</f>
        <v>5</v>
      </c>
    </row>
    <row r="56" spans="3:9" x14ac:dyDescent="0.25">
      <c r="C56" s="171" t="s">
        <v>166</v>
      </c>
      <c r="D56" s="335" t="str">
        <f>IF(AND(AVERAGE(MGPTI_EJ_Interesados)&gt;0,AVERAGE(MGPTI_EJ_Interesados)&lt;=1),AVERAGE(MGPTI_EJ_Interesados),"")</f>
        <v/>
      </c>
      <c r="E56" s="335" t="str">
        <f>IF(AND(AVERAGE(MGPTI_EJ_Interesados)&gt;1,AVERAGE(MGPTI_EJ_Interesados)&lt;=2),AVERAGE(MGPTI_EJ_Interesados),"")</f>
        <v/>
      </c>
      <c r="F56" s="335" t="str">
        <f>IF(AND(AVERAGE(MGPTI_EJ_Interesados)&gt;2,AVERAGE(MGPTI_EJ_Interesados)&lt;=3),AVERAGE(MGPTI_EJ_Interesados),"")</f>
        <v/>
      </c>
      <c r="G56" s="335" t="str">
        <f>IF(AND(AVERAGE(MGPTI_EJ_Interesados)&gt;3,AVERAGE(MGPTI_EJ_Interesados)&lt;=4),AVERAGE(MGPTI_EJ_Interesados),"")</f>
        <v/>
      </c>
      <c r="H56" s="335">
        <f>IF(AND(AVERAGE(MGPTI_EJ_Interesados)&gt;4,AVERAGE(MGPTI_EJ_Interesados)&lt;=5),AVERAGE(MGPTI_EJ_Interesados),"")</f>
        <v>5</v>
      </c>
      <c r="I56" s="71">
        <f t="shared" ref="I56:I60" si="3">SUM(D56:H56)</f>
        <v>5</v>
      </c>
    </row>
    <row r="57" spans="3:9" ht="31.5" x14ac:dyDescent="0.25">
      <c r="C57" s="26" t="s">
        <v>177</v>
      </c>
      <c r="D57" s="335" t="str">
        <f>IF(AND(AVERAGE(MGPTI_EJ_Entrega)&gt;0,AVERAGE(MGPTI_EJ_Entrega)&lt;=1),AVERAGE(MGPTI_EJ_Entrega),"")</f>
        <v/>
      </c>
      <c r="E57" s="335" t="str">
        <f>IF(AND(AVERAGE(MGPTI_EJ_Entrega)&gt;1,AVERAGE(MGPTI_EJ_Entrega)&lt;=2),AVERAGE(MGPTI_EJ_Entrega),"")</f>
        <v/>
      </c>
      <c r="F57" s="335" t="str">
        <f>IF(AND(AVERAGE(MGPTI_EJ_Entrega)&gt;2,AVERAGE(MGPTI_EJ_Entrega)&lt;=3),AVERAGE(MGPTI_EJ_Entrega),"")</f>
        <v/>
      </c>
      <c r="G57" s="335" t="str">
        <f>IF(AND(AVERAGE(MGPTI_EJ_Entrega)&gt;3,AVERAGE(MGPTI_EJ_Entrega)&lt;=4),AVERAGE(MGPTI_EJ_Entrega),"")</f>
        <v/>
      </c>
      <c r="H57" s="335">
        <f>IF(AND(AVERAGE(MGPTI_EJ_Entrega)&gt;4,AVERAGE(MGPTI_EJ_Entrega)&lt;=5),AVERAGE(MGPTI_EJ_Entrega),"")</f>
        <v>5</v>
      </c>
      <c r="I57" s="68">
        <f t="shared" si="3"/>
        <v>5</v>
      </c>
    </row>
    <row r="58" spans="3:9" x14ac:dyDescent="0.25">
      <c r="C58" s="186" t="s">
        <v>168</v>
      </c>
      <c r="D58" s="335" t="str">
        <f>IF(AND(AVERAGE(MGPTI_EJ_Recursos)&gt;0,AVERAGE(MGPTI_EJ_Recursos)&lt;=1),AVERAGE(MGPTI_EJ_Recursos),"")</f>
        <v/>
      </c>
      <c r="E58" s="335" t="str">
        <f>IF(AND(AVERAGE(MGPTI_EJ_Recursos)&gt;1,AVERAGE(MGPTI_EJ_Recursos)&lt;=2),AVERAGE(MGPTI_EJ_Recursos),"")</f>
        <v/>
      </c>
      <c r="F58" s="335" t="str">
        <f>IF(AND(AVERAGE(MGPTI_EJ_Recursos)&gt;2,AVERAGE(MGPTI_EJ_Recursos)&lt;=3),AVERAGE(MGPTI_EJ_Recursos),"")</f>
        <v/>
      </c>
      <c r="G58" s="335" t="str">
        <f>IF(AND(AVERAGE(MGPTI_EJ_Recursos)&gt;3,AVERAGE(MGPTI_EJ_Recursos)&lt;=4),AVERAGE(MGPTI_EJ_Recursos),"")</f>
        <v/>
      </c>
      <c r="H58" s="335">
        <f>IF(AND(AVERAGE(MGPTI_EJ_Recursos)&gt;4,AVERAGE(MGPTI_EJ_Recursos)&lt;=5),AVERAGE(MGPTI_EJ_Recursos),"")</f>
        <v>5</v>
      </c>
      <c r="I58" s="68">
        <f t="shared" si="3"/>
        <v>5</v>
      </c>
    </row>
    <row r="59" spans="3:9" x14ac:dyDescent="0.25">
      <c r="C59" s="186" t="s">
        <v>122</v>
      </c>
      <c r="D59" s="335" t="str">
        <f>IF(AND(AVERAGE(MGPTI_EJ_Calidad)&gt;0,AVERAGE(MGPTI_EJ_Calidad)&lt;=1),AVERAGE(MGPTI_EJ_Calidad),"")</f>
        <v/>
      </c>
      <c r="E59" s="335" t="str">
        <f>IF(AND(AVERAGE(MGPTI_EJ_Calidad)&gt;1,AVERAGE(MGPTI_EJ_Calidad)&lt;=2),AVERAGE(MGPTI_EJ_Calidad),"")</f>
        <v/>
      </c>
      <c r="F59" s="335" t="str">
        <f>IF(AND(AVERAGE(MGPTI_EJ_Calidad)&gt;2,AVERAGE(MGPTI_EJ_Calidad)&lt;=3),AVERAGE(MGPTI_EJ_Calidad),"")</f>
        <v/>
      </c>
      <c r="G59" s="335" t="str">
        <f>IF(AND(AVERAGE(MGPTI_EJ_Calidad)&gt;3,AVERAGE(MGPTI_EJ_Calidad)&lt;=4),AVERAGE(MGPTI_EJ_Calidad),"")</f>
        <v/>
      </c>
      <c r="H59" s="335">
        <f>IF(AND(AVERAGE(MGPTI_EJ_Calidad)&gt;4,AVERAGE(MGPTI_EJ_Calidad)&lt;=5),AVERAGE(MGPTI_EJ_Calidad),"")</f>
        <v>5</v>
      </c>
      <c r="I59" s="68">
        <f t="shared" si="3"/>
        <v>5</v>
      </c>
    </row>
    <row r="60" spans="3:9" ht="16.5" thickBot="1" x14ac:dyDescent="0.3">
      <c r="C60" s="187" t="s">
        <v>169</v>
      </c>
      <c r="D60" s="335" t="str">
        <f>IF(AND(AVERAGE(MGPTI_EJ_Riesgos)&gt;0,AVERAGE(MGPTI_EJ_Riesgos)&lt;=1),AVERAGE(MGPTI_EJ_Riesgos),"")</f>
        <v/>
      </c>
      <c r="E60" s="335" t="str">
        <f>IF(AND(AVERAGE(MGPTI_EJ_Riesgos)&gt;1,AVERAGE(MGPTI_EJ_Riesgos)&lt;=2),AVERAGE(MGPTI_EJ_Riesgos),"")</f>
        <v/>
      </c>
      <c r="F60" s="335" t="str">
        <f>IF(AND(AVERAGE(MGPTI_EJ_Riesgos)&gt;2,AVERAGE(MGPTI_EJ_Riesgos)&lt;=3),AVERAGE(MGPTI_EJ_Riesgos),"")</f>
        <v/>
      </c>
      <c r="G60" s="335" t="str">
        <f>IF(AND(AVERAGE(MGPTI_EJ_Riesgos)&gt;3,AVERAGE(MGPTI_EJ_Riesgos)&lt;=4),AVERAGE(MGPTI_EJ_Riesgos),"")</f>
        <v/>
      </c>
      <c r="H60" s="335">
        <f>IF(AND(AVERAGE(MGPTI_EJ_Riesgos)&gt;4,AVERAGE(MGPTI_EJ_Riesgos)&lt;=5),AVERAGE(MGPTI_EJ_Riesgos),"")</f>
        <v>5</v>
      </c>
      <c r="I60" s="69">
        <f t="shared" si="3"/>
        <v>5</v>
      </c>
    </row>
    <row r="61" spans="3:9" x14ac:dyDescent="0.25">
      <c r="H61" s="1"/>
      <c r="I61" s="1"/>
    </row>
    <row r="64" spans="3:9" ht="409.5" customHeight="1" x14ac:dyDescent="0.25">
      <c r="C64" s="365"/>
      <c r="D64" s="365"/>
      <c r="E64" s="365"/>
      <c r="F64" s="365"/>
      <c r="G64" s="365"/>
      <c r="H64" s="365"/>
      <c r="I64" s="365"/>
    </row>
    <row r="66" spans="3:9" ht="16.5" thickBot="1" x14ac:dyDescent="0.3"/>
    <row r="67" spans="3:9" ht="16.5" thickBot="1" x14ac:dyDescent="0.3">
      <c r="C67" s="396" t="s">
        <v>184</v>
      </c>
      <c r="D67" s="172">
        <v>1</v>
      </c>
      <c r="E67" s="172">
        <v>2</v>
      </c>
      <c r="F67" s="172">
        <v>3</v>
      </c>
      <c r="G67" s="172">
        <v>4</v>
      </c>
      <c r="H67" s="178">
        <v>5</v>
      </c>
      <c r="I67" s="168" t="s">
        <v>192</v>
      </c>
    </row>
    <row r="68" spans="3:9" ht="16.5" thickBot="1" x14ac:dyDescent="0.3">
      <c r="C68" s="397"/>
      <c r="D68" s="170" t="s">
        <v>193</v>
      </c>
      <c r="E68" s="170" t="s">
        <v>194</v>
      </c>
      <c r="F68" s="170" t="s">
        <v>195</v>
      </c>
      <c r="G68" s="170" t="s">
        <v>196</v>
      </c>
      <c r="H68" s="177" t="s">
        <v>197</v>
      </c>
      <c r="I68" s="70">
        <f>AVERAGE(I69:I71)</f>
        <v>5</v>
      </c>
    </row>
    <row r="69" spans="3:9" x14ac:dyDescent="0.25">
      <c r="C69" s="171" t="s">
        <v>185</v>
      </c>
      <c r="D69" s="335" t="str">
        <f>IF(AND(AVERAGE(MGPTI_CI_Cierre)&gt;0,AVERAGE(MGPTI_CI_Cierre)&lt;=1),AVERAGE(MGPTI_CI_Cierre),"")</f>
        <v/>
      </c>
      <c r="E69" s="335" t="str">
        <f>IF(AND(AVERAGE(MGPTI_CI_Cierre)&gt;1,AVERAGE(MGPTI_CI_Cierre)&lt;=2),AVERAGE(MGPTI_CI_Cierre),"")</f>
        <v/>
      </c>
      <c r="F69" s="335" t="str">
        <f>IF(AND(AVERAGE(MGPTI_CI_Cierre)&gt;2,AVERAGE(MGPTI_CI_Cierre)&lt;=3),AVERAGE(MGPTI_CI_Cierre),"")</f>
        <v/>
      </c>
      <c r="G69" s="335" t="str">
        <f>IF(AND(AVERAGE(MGPTI_CI_Cierre)&gt;3,AVERAGE(MGPTI_CI_Cierre)&lt;=4),AVERAGE(MGPTI_CI_Cierre),"")</f>
        <v/>
      </c>
      <c r="H69" s="335">
        <f>IF(AND(AVERAGE(MGPTI_CI_Cierre)&gt;4,AVERAGE(MGPTI_CI_Cierre)&lt;=5),AVERAGE(MGPTI_CI_Cierre),"")</f>
        <v>5</v>
      </c>
      <c r="I69" s="71">
        <f t="shared" ref="I69:I71" si="4">SUM(D69:H69)</f>
        <v>5</v>
      </c>
    </row>
    <row r="70" spans="3:9" x14ac:dyDescent="0.25">
      <c r="C70" s="186" t="s">
        <v>168</v>
      </c>
      <c r="D70" s="335" t="str">
        <f>IF(AND(AVERAGE(MGPTI_CI_Recursos)&gt;0,AVERAGE(MGPTI_CI_Recursos)&lt;=1),AVERAGE(MGPTI_CI_Recursos),"")</f>
        <v/>
      </c>
      <c r="E70" s="335" t="str">
        <f>IF(AND(AVERAGE(MGPTI_CI_Recursos)&gt;1,AVERAGE(MGPTI_CI_Recursos)&lt;=2),AVERAGE(MGPTI_CI_Recursos),"")</f>
        <v/>
      </c>
      <c r="F70" s="335" t="str">
        <f>IF(AND(AVERAGE(MGPTI_CI_Recursos)&gt;2,AVERAGE(MGPTI_CI_Recursos)&lt;=3),AVERAGE(MGPTI_CI_Recursos),"")</f>
        <v/>
      </c>
      <c r="G70" s="335" t="str">
        <f>IF(AND(AVERAGE(MGPTI_CI_Recursos)&gt;3,AVERAGE(MGPTI_CI_Recursos)&lt;=4),AVERAGE(MGPTI_CI_Recursos),"")</f>
        <v/>
      </c>
      <c r="H70" s="335">
        <f>IF(AND(AVERAGE(MGPTI_CI_Recursos)&gt;4,AVERAGE(MGPTI_CI_Recursos)&lt;=5),AVERAGE(MGPTI_CI_Recursos),"")</f>
        <v>5</v>
      </c>
      <c r="I70" s="68">
        <f t="shared" si="4"/>
        <v>5</v>
      </c>
    </row>
    <row r="71" spans="3:9" ht="16.5" thickBot="1" x14ac:dyDescent="0.3">
      <c r="C71" s="187" t="s">
        <v>79</v>
      </c>
      <c r="D71" s="335" t="str">
        <f>IF(AND(AVERAGE(MGPTI_CI_Resultados)&gt;0,AVERAGE(MGPTI_CI_Resultados)&lt;=1),AVERAGE(MGPTI_CI_Resultados),"")</f>
        <v/>
      </c>
      <c r="E71" s="335" t="str">
        <f>IF(AND(AVERAGE(MGPTI_CI_Resultados)&gt;1,AVERAGE(MGPTI_CI_Resultados)&lt;=2),AVERAGE(MGPTI_CI_Resultados),"")</f>
        <v/>
      </c>
      <c r="F71" s="335" t="str">
        <f>IF(AND(AVERAGE(MGPTI_CI_Resultados)&gt;2,AVERAGE(MGPTI_CI_Resultados)&lt;=3),AVERAGE(MGPTI_CI_Resultados),"")</f>
        <v/>
      </c>
      <c r="G71" s="335" t="str">
        <f>IF(AND(AVERAGE(MGPTI_CI_Resultados)&gt;3,AVERAGE(MGPTI_CI_Resultados)&lt;=4),AVERAGE(MGPTI_CI_Resultados),"")</f>
        <v/>
      </c>
      <c r="H71" s="335">
        <f>IF(AND(AVERAGE(MGPTI_CI_Resultados)&gt;4,AVERAGE(MGPTI_CI_Resultados)&lt;=5),AVERAGE(MGPTI_CI_Resultados),"")</f>
        <v>5</v>
      </c>
      <c r="I71" s="69">
        <f t="shared" si="4"/>
        <v>5</v>
      </c>
    </row>
    <row r="72" spans="3:9" x14ac:dyDescent="0.25">
      <c r="H72" s="1"/>
      <c r="I72" s="1"/>
    </row>
  </sheetData>
  <sheetProtection algorithmName="SHA-512" hashValue="NnL+b/0n6KgWWLFzzsMnmIjrMLTMAKWdem8qLC7zvjUxjDZLCVWM0zs2sh2GP78IFYs8sBSGBY32x52pWD44XA==" saltValue="3jgiFcoP16Y59vJAtpaRQw==" spinCount="100000" autoFilter="0" pivotTables="0"/>
  <mergeCells count="11">
    <mergeCell ref="C67:C68"/>
    <mergeCell ref="C64:I64"/>
    <mergeCell ref="B2:H6"/>
    <mergeCell ref="C14:I14"/>
    <mergeCell ref="C26:I26"/>
    <mergeCell ref="C37:I37"/>
    <mergeCell ref="C50:I50"/>
    <mergeCell ref="C18:C19"/>
    <mergeCell ref="C30:C31"/>
    <mergeCell ref="C41:C42"/>
    <mergeCell ref="C54:C55"/>
  </mergeCells>
  <hyperlinks>
    <hyperlink ref="A1" location="Inicio!A1" display="Inicio" xr:uid="{6D5C1F18-3EB6-4A41-ABAD-EDA251806984}"/>
  </hyperlinks>
  <pageMargins left="0.7" right="0.7" top="0.75" bottom="0.75" header="0.3" footer="0.3"/>
  <pageSetup orientation="portrait" horizontalDpi="0" verticalDpi="0"/>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80051-2A6F-9E46-866E-EE328FA4F087}">
  <sheetPr codeName="Hoja11"/>
  <dimension ref="A1:U43"/>
  <sheetViews>
    <sheetView showGridLines="0" zoomScale="70" zoomScaleNormal="70" workbookViewId="0">
      <pane xSplit="5" ySplit="5" topLeftCell="J6" activePane="bottomRight" state="frozen"/>
      <selection pane="topRight" activeCell="H1" sqref="H1"/>
      <selection pane="bottomLeft" activeCell="A6" sqref="A6"/>
      <selection pane="bottomRight"/>
    </sheetView>
  </sheetViews>
  <sheetFormatPr baseColWidth="10" defaultColWidth="10.875" defaultRowHeight="15" x14ac:dyDescent="0.2"/>
  <cols>
    <col min="1" max="1" width="10.875" style="11"/>
    <col min="2" max="2" width="17.375" style="125" customWidth="1"/>
    <col min="3" max="3" width="48.375" style="99" customWidth="1"/>
    <col min="4" max="4" width="23.5" style="99" customWidth="1"/>
    <col min="5" max="5" width="9.625" style="122" customWidth="1"/>
    <col min="6" max="11" width="16.875" style="10" customWidth="1"/>
    <col min="12" max="12" width="19" style="10" customWidth="1"/>
    <col min="13" max="21" width="16.875" style="10" customWidth="1"/>
    <col min="22" max="16384" width="10.875" style="10"/>
  </cols>
  <sheetData>
    <row r="1" spans="1:21" ht="15.75" x14ac:dyDescent="0.25">
      <c r="A1" s="273" t="s">
        <v>52</v>
      </c>
    </row>
    <row r="2" spans="1:21" ht="72.95" customHeight="1" x14ac:dyDescent="0.2">
      <c r="A2" s="125"/>
      <c r="C2" s="375" t="s">
        <v>609</v>
      </c>
      <c r="D2" s="375"/>
      <c r="E2" s="375"/>
      <c r="F2" s="375"/>
      <c r="G2" s="375"/>
      <c r="H2" s="375"/>
      <c r="I2" s="375"/>
      <c r="J2" s="375"/>
      <c r="K2" s="375"/>
      <c r="L2" s="375"/>
      <c r="M2" s="375"/>
      <c r="N2" s="375"/>
      <c r="O2" s="375"/>
      <c r="P2" s="375"/>
      <c r="Q2" s="375"/>
      <c r="R2" s="375"/>
      <c r="S2" s="375"/>
      <c r="T2" s="375"/>
      <c r="U2" s="375"/>
    </row>
    <row r="3" spans="1:21" ht="15.75" thickBot="1" x14ac:dyDescent="0.25"/>
    <row r="4" spans="1:21" ht="47.1" customHeight="1" thickBot="1" x14ac:dyDescent="0.4">
      <c r="B4" s="160"/>
      <c r="C4" s="382"/>
      <c r="D4" s="382"/>
      <c r="E4" s="383"/>
      <c r="F4" s="376" t="s">
        <v>610</v>
      </c>
      <c r="G4" s="377"/>
      <c r="H4" s="377"/>
      <c r="I4" s="376" t="s">
        <v>611</v>
      </c>
      <c r="J4" s="377"/>
      <c r="K4" s="377"/>
      <c r="L4" s="377"/>
      <c r="M4" s="378"/>
      <c r="N4" s="376" t="s">
        <v>612</v>
      </c>
      <c r="O4" s="377"/>
      <c r="P4" s="377"/>
      <c r="Q4" s="377"/>
      <c r="R4" s="378"/>
      <c r="S4" s="376" t="s">
        <v>613</v>
      </c>
      <c r="T4" s="377"/>
      <c r="U4" s="378"/>
    </row>
    <row r="5" spans="1:21" ht="75" x14ac:dyDescent="0.2">
      <c r="A5" s="275" t="s">
        <v>215</v>
      </c>
      <c r="B5" s="275" t="s">
        <v>314</v>
      </c>
      <c r="C5" s="275" t="s">
        <v>315</v>
      </c>
      <c r="D5" s="276" t="s">
        <v>316</v>
      </c>
      <c r="E5" s="276" t="s">
        <v>192</v>
      </c>
      <c r="F5" s="279" t="s">
        <v>158</v>
      </c>
      <c r="G5" s="280" t="s">
        <v>159</v>
      </c>
      <c r="H5" s="280" t="s">
        <v>160</v>
      </c>
      <c r="I5" s="277" t="s">
        <v>166</v>
      </c>
      <c r="J5" s="278" t="s">
        <v>167</v>
      </c>
      <c r="K5" s="278" t="s">
        <v>168</v>
      </c>
      <c r="L5" s="278" t="s">
        <v>122</v>
      </c>
      <c r="M5" s="278" t="s">
        <v>169</v>
      </c>
      <c r="N5" s="277" t="s">
        <v>166</v>
      </c>
      <c r="O5" s="278" t="s">
        <v>177</v>
      </c>
      <c r="P5" s="278" t="s">
        <v>168</v>
      </c>
      <c r="Q5" s="278" t="s">
        <v>122</v>
      </c>
      <c r="R5" s="278" t="s">
        <v>169</v>
      </c>
      <c r="S5" s="278" t="s">
        <v>185</v>
      </c>
      <c r="T5" s="278" t="s">
        <v>168</v>
      </c>
      <c r="U5" s="278" t="s">
        <v>79</v>
      </c>
    </row>
    <row r="6" spans="1:21" customFormat="1" ht="99.95" customHeight="1" x14ac:dyDescent="0.25">
      <c r="A6" s="281">
        <v>1</v>
      </c>
      <c r="B6" s="282" t="s">
        <v>614</v>
      </c>
      <c r="C6" s="282" t="s">
        <v>615</v>
      </c>
      <c r="D6" s="282" t="s">
        <v>157</v>
      </c>
      <c r="E6" s="283">
        <f>VLOOKUP(A6,'3.2.Evaluación MGPTI'!$A$6:$E$43,5,0)</f>
        <v>5</v>
      </c>
      <c r="F6" s="110">
        <f>E6</f>
        <v>5</v>
      </c>
      <c r="G6" s="107"/>
      <c r="H6" s="108"/>
      <c r="I6" s="109"/>
      <c r="J6" s="107"/>
      <c r="K6" s="107"/>
      <c r="L6" s="107"/>
      <c r="M6" s="108"/>
      <c r="N6" s="109"/>
      <c r="O6" s="107"/>
      <c r="P6" s="107"/>
      <c r="Q6" s="107"/>
      <c r="R6" s="108"/>
      <c r="S6" s="109"/>
      <c r="T6" s="107"/>
      <c r="U6" s="108"/>
    </row>
    <row r="7" spans="1:21" customFormat="1" ht="122.1" customHeight="1" x14ac:dyDescent="0.25">
      <c r="A7" s="281">
        <v>2</v>
      </c>
      <c r="B7" s="284" t="s">
        <v>616</v>
      </c>
      <c r="C7" s="284" t="s">
        <v>617</v>
      </c>
      <c r="D7" s="282" t="s">
        <v>157</v>
      </c>
      <c r="E7" s="283">
        <f>VLOOKUP(A7,'3.2.Evaluación MGPTI'!$A$6:$E$43,5,0)</f>
        <v>5</v>
      </c>
      <c r="F7" s="110">
        <f>E7</f>
        <v>5</v>
      </c>
      <c r="G7" s="107"/>
      <c r="H7" s="108"/>
      <c r="I7" s="109"/>
      <c r="J7" s="107"/>
      <c r="K7" s="107"/>
      <c r="L7" s="107"/>
      <c r="M7" s="108"/>
      <c r="N7" s="109"/>
      <c r="O7" s="107"/>
      <c r="P7" s="107"/>
      <c r="Q7" s="107"/>
      <c r="R7" s="108"/>
      <c r="S7" s="109"/>
      <c r="T7" s="107"/>
      <c r="U7" s="108"/>
    </row>
    <row r="8" spans="1:21" customFormat="1" ht="99.95" customHeight="1" x14ac:dyDescent="0.25">
      <c r="A8" s="281">
        <v>3</v>
      </c>
      <c r="B8" s="282" t="s">
        <v>618</v>
      </c>
      <c r="C8" s="282" t="s">
        <v>619</v>
      </c>
      <c r="D8" s="282" t="s">
        <v>157</v>
      </c>
      <c r="E8" s="283">
        <f>VLOOKUP(A8,'3.2.Evaluación MGPTI'!$A$6:$E$43,5,0)</f>
        <v>5</v>
      </c>
      <c r="F8" s="110">
        <f>E8</f>
        <v>5</v>
      </c>
      <c r="G8" s="107"/>
      <c r="H8" s="108"/>
      <c r="I8" s="109"/>
      <c r="J8" s="107"/>
      <c r="K8" s="107"/>
      <c r="L8" s="107"/>
      <c r="M8" s="108"/>
      <c r="N8" s="109"/>
      <c r="O8" s="107"/>
      <c r="P8" s="107"/>
      <c r="Q8" s="107"/>
      <c r="R8" s="108"/>
      <c r="S8" s="109"/>
      <c r="T8" s="107"/>
      <c r="U8" s="108"/>
    </row>
    <row r="9" spans="1:21" customFormat="1" ht="99.95" customHeight="1" x14ac:dyDescent="0.25">
      <c r="A9" s="281">
        <v>4</v>
      </c>
      <c r="B9" s="282" t="s">
        <v>620</v>
      </c>
      <c r="C9" s="282" t="s">
        <v>621</v>
      </c>
      <c r="D9" s="282" t="s">
        <v>157</v>
      </c>
      <c r="E9" s="283">
        <f>VLOOKUP(A9,'3.2.Evaluación MGPTI'!$A$6:$E$43,5,0)</f>
        <v>5</v>
      </c>
      <c r="F9" s="107"/>
      <c r="G9" s="110">
        <f>E9</f>
        <v>5</v>
      </c>
      <c r="H9" s="108"/>
      <c r="I9" s="109"/>
      <c r="J9" s="107"/>
      <c r="K9" s="107"/>
      <c r="L9" s="107"/>
      <c r="M9" s="108"/>
      <c r="N9" s="109"/>
      <c r="O9" s="107"/>
      <c r="P9" s="107"/>
      <c r="Q9" s="107"/>
      <c r="R9" s="108"/>
      <c r="S9" s="109"/>
      <c r="T9" s="107"/>
      <c r="U9" s="108"/>
    </row>
    <row r="10" spans="1:21" customFormat="1" ht="131.1" customHeight="1" x14ac:dyDescent="0.25">
      <c r="A10" s="281">
        <v>5</v>
      </c>
      <c r="B10" s="282" t="s">
        <v>622</v>
      </c>
      <c r="C10" s="282" t="s">
        <v>623</v>
      </c>
      <c r="D10" s="282" t="s">
        <v>157</v>
      </c>
      <c r="E10" s="283">
        <f>VLOOKUP(A10,'3.2.Evaluación MGPTI'!$A$6:$E$43,5,0)</f>
        <v>5</v>
      </c>
      <c r="F10" s="107"/>
      <c r="G10" s="110">
        <f>E10</f>
        <v>5</v>
      </c>
      <c r="H10" s="108"/>
      <c r="I10" s="109"/>
      <c r="J10" s="107"/>
      <c r="K10" s="107"/>
      <c r="L10" s="107"/>
      <c r="M10" s="108"/>
      <c r="N10" s="109"/>
      <c r="O10" s="107"/>
      <c r="P10" s="107"/>
      <c r="Q10" s="107"/>
      <c r="R10" s="108"/>
      <c r="S10" s="109"/>
      <c r="T10" s="107"/>
      <c r="U10" s="108"/>
    </row>
    <row r="11" spans="1:21" customFormat="1" ht="119.1" customHeight="1" x14ac:dyDescent="0.25">
      <c r="A11" s="281">
        <v>6</v>
      </c>
      <c r="B11" s="284" t="s">
        <v>624</v>
      </c>
      <c r="C11" s="284" t="s">
        <v>625</v>
      </c>
      <c r="D11" s="282" t="s">
        <v>157</v>
      </c>
      <c r="E11" s="283">
        <f>VLOOKUP(A11,'3.2.Evaluación MGPTI'!$A$6:$E$43,5,0)</f>
        <v>5</v>
      </c>
      <c r="F11" s="107"/>
      <c r="G11" s="110">
        <f>E11</f>
        <v>5</v>
      </c>
      <c r="H11" s="108"/>
      <c r="I11" s="109"/>
      <c r="J11" s="107"/>
      <c r="K11" s="107"/>
      <c r="L11" s="107"/>
      <c r="M11" s="108"/>
      <c r="N11" s="109"/>
      <c r="O11" s="107"/>
      <c r="P11" s="107"/>
      <c r="Q11" s="107"/>
      <c r="R11" s="108"/>
      <c r="S11" s="109"/>
      <c r="T11" s="107"/>
      <c r="U11" s="108"/>
    </row>
    <row r="12" spans="1:21" customFormat="1" ht="42.75" x14ac:dyDescent="0.25">
      <c r="A12" s="281">
        <v>7</v>
      </c>
      <c r="B12" s="284" t="s">
        <v>626</v>
      </c>
      <c r="C12" s="284" t="s">
        <v>627</v>
      </c>
      <c r="D12" s="282" t="s">
        <v>157</v>
      </c>
      <c r="E12" s="283">
        <f>VLOOKUP(A12,'3.2.Evaluación MGPTI'!$A$6:$E$43,5,0)</f>
        <v>5</v>
      </c>
      <c r="F12" s="107"/>
      <c r="G12" s="110">
        <f>E12</f>
        <v>5</v>
      </c>
      <c r="H12" s="108"/>
      <c r="I12" s="109"/>
      <c r="J12" s="107"/>
      <c r="K12" s="107"/>
      <c r="L12" s="107"/>
      <c r="M12" s="108"/>
      <c r="N12" s="109"/>
      <c r="O12" s="107"/>
      <c r="P12" s="107"/>
      <c r="Q12" s="107"/>
      <c r="R12" s="108"/>
      <c r="S12" s="109"/>
      <c r="T12" s="107"/>
      <c r="U12" s="108"/>
    </row>
    <row r="13" spans="1:21" customFormat="1" ht="156.94999999999999" customHeight="1" x14ac:dyDescent="0.25">
      <c r="A13" s="281">
        <v>8</v>
      </c>
      <c r="B13" s="284" t="s">
        <v>628</v>
      </c>
      <c r="C13" s="282" t="s">
        <v>629</v>
      </c>
      <c r="D13" s="282" t="s">
        <v>157</v>
      </c>
      <c r="E13" s="283">
        <f>VLOOKUP(A13,'3.2.Evaluación MGPTI'!$A$6:$E$43,5,0)</f>
        <v>5</v>
      </c>
      <c r="F13" s="107"/>
      <c r="G13" s="110">
        <f>E13</f>
        <v>5</v>
      </c>
      <c r="H13" s="108"/>
      <c r="I13" s="109"/>
      <c r="J13" s="107"/>
      <c r="K13" s="107"/>
      <c r="L13" s="107"/>
      <c r="M13" s="108"/>
      <c r="N13" s="109"/>
      <c r="O13" s="107"/>
      <c r="P13" s="107"/>
      <c r="Q13" s="107"/>
      <c r="R13" s="108"/>
      <c r="S13" s="109"/>
      <c r="T13" s="107"/>
      <c r="U13" s="108"/>
    </row>
    <row r="14" spans="1:21" customFormat="1" ht="99.95" customHeight="1" x14ac:dyDescent="0.25">
      <c r="A14" s="281">
        <v>9</v>
      </c>
      <c r="B14" s="284" t="s">
        <v>630</v>
      </c>
      <c r="C14" s="284" t="s">
        <v>631</v>
      </c>
      <c r="D14" s="282" t="s">
        <v>157</v>
      </c>
      <c r="E14" s="283">
        <f>VLOOKUP(A14,'3.2.Evaluación MGPTI'!$A$6:$E$43,5,0)</f>
        <v>5</v>
      </c>
      <c r="F14" s="107"/>
      <c r="G14" s="107"/>
      <c r="H14" s="111">
        <f>E14</f>
        <v>5</v>
      </c>
      <c r="I14" s="109"/>
      <c r="J14" s="107"/>
      <c r="K14" s="107"/>
      <c r="L14" s="107"/>
      <c r="M14" s="108"/>
      <c r="N14" s="109"/>
      <c r="O14" s="107"/>
      <c r="P14" s="107"/>
      <c r="Q14" s="107"/>
      <c r="R14" s="108"/>
      <c r="S14" s="109"/>
      <c r="T14" s="107"/>
      <c r="U14" s="108"/>
    </row>
    <row r="15" spans="1:21" customFormat="1" ht="99.95" customHeight="1" x14ac:dyDescent="0.25">
      <c r="A15" s="281">
        <v>10</v>
      </c>
      <c r="B15" s="284" t="s">
        <v>632</v>
      </c>
      <c r="C15" s="284" t="s">
        <v>633</v>
      </c>
      <c r="D15" s="282" t="s">
        <v>157</v>
      </c>
      <c r="E15" s="283">
        <f>VLOOKUP(A15,'3.2.Evaluación MGPTI'!$A$6:$E$43,5,0)</f>
        <v>5</v>
      </c>
      <c r="F15" s="107"/>
      <c r="G15" s="107"/>
      <c r="H15" s="111"/>
      <c r="I15" s="109"/>
      <c r="J15" s="107"/>
      <c r="K15" s="107"/>
      <c r="L15" s="107"/>
      <c r="M15" s="108"/>
      <c r="N15" s="109"/>
      <c r="O15" s="107"/>
      <c r="P15" s="107"/>
      <c r="Q15" s="107"/>
      <c r="R15" s="108"/>
      <c r="S15" s="109"/>
      <c r="T15" s="107"/>
      <c r="U15" s="108"/>
    </row>
    <row r="16" spans="1:21" customFormat="1" ht="99.95" customHeight="1" x14ac:dyDescent="0.25">
      <c r="A16" s="281">
        <v>11</v>
      </c>
      <c r="B16" s="284" t="s">
        <v>634</v>
      </c>
      <c r="C16" s="284" t="s">
        <v>635</v>
      </c>
      <c r="D16" s="282" t="s">
        <v>157</v>
      </c>
      <c r="E16" s="283">
        <f>VLOOKUP(A16,'3.2.Evaluación MGPTI'!$A$6:$E$43,5,0)</f>
        <v>5</v>
      </c>
      <c r="F16" s="107"/>
      <c r="G16" s="107"/>
      <c r="H16" s="111">
        <f>E16</f>
        <v>5</v>
      </c>
      <c r="I16" s="109"/>
      <c r="J16" s="107"/>
      <c r="K16" s="107"/>
      <c r="L16" s="107"/>
      <c r="M16" s="108"/>
      <c r="N16" s="109"/>
      <c r="O16" s="107"/>
      <c r="P16" s="107"/>
      <c r="Q16" s="107"/>
      <c r="R16" s="108"/>
      <c r="S16" s="109"/>
      <c r="T16" s="107"/>
      <c r="U16" s="108"/>
    </row>
    <row r="17" spans="1:21" customFormat="1" ht="99.95" customHeight="1" x14ac:dyDescent="0.25">
      <c r="A17" s="281">
        <v>12</v>
      </c>
      <c r="B17" s="284" t="s">
        <v>636</v>
      </c>
      <c r="C17" s="284" t="s">
        <v>637</v>
      </c>
      <c r="D17" s="285" t="s">
        <v>165</v>
      </c>
      <c r="E17" s="283">
        <f>VLOOKUP(A17,'3.2.Evaluación MGPTI'!$A$6:$E$43,5,0)</f>
        <v>5</v>
      </c>
      <c r="F17" s="107"/>
      <c r="G17" s="107"/>
      <c r="H17" s="108"/>
      <c r="I17" s="109"/>
      <c r="J17" s="110">
        <f>E17</f>
        <v>5</v>
      </c>
      <c r="K17" s="107"/>
      <c r="L17" s="107"/>
      <c r="M17" s="108"/>
      <c r="N17" s="109"/>
      <c r="O17" s="107"/>
      <c r="P17" s="107"/>
      <c r="Q17" s="107"/>
      <c r="R17" s="108"/>
      <c r="S17" s="109"/>
      <c r="T17" s="107"/>
      <c r="U17" s="108"/>
    </row>
    <row r="18" spans="1:21" customFormat="1" ht="99.95" customHeight="1" x14ac:dyDescent="0.25">
      <c r="A18" s="281">
        <v>13</v>
      </c>
      <c r="B18" s="284" t="s">
        <v>638</v>
      </c>
      <c r="C18" s="284" t="s">
        <v>639</v>
      </c>
      <c r="D18" s="285" t="s">
        <v>165</v>
      </c>
      <c r="E18" s="283">
        <f>VLOOKUP(A18,'3.2.Evaluación MGPTI'!$A$6:$E$43,5,0)</f>
        <v>5</v>
      </c>
      <c r="F18" s="107"/>
      <c r="G18" s="107"/>
      <c r="H18" s="108"/>
      <c r="I18" s="109"/>
      <c r="J18" s="110">
        <f>E18</f>
        <v>5</v>
      </c>
      <c r="K18" s="107"/>
      <c r="L18" s="107"/>
      <c r="M18" s="108"/>
      <c r="N18" s="109"/>
      <c r="O18" s="107"/>
      <c r="P18" s="107"/>
      <c r="Q18" s="107"/>
      <c r="R18" s="108"/>
      <c r="S18" s="109"/>
      <c r="T18" s="107"/>
      <c r="U18" s="108"/>
    </row>
    <row r="19" spans="1:21" customFormat="1" ht="111.95" customHeight="1" x14ac:dyDescent="0.25">
      <c r="A19" s="281">
        <v>14</v>
      </c>
      <c r="B19" s="284" t="s">
        <v>640</v>
      </c>
      <c r="C19" s="284" t="s">
        <v>641</v>
      </c>
      <c r="D19" s="285" t="s">
        <v>165</v>
      </c>
      <c r="E19" s="283">
        <f>VLOOKUP(A19,'3.2.Evaluación MGPTI'!$A$6:$E$43,5,0)</f>
        <v>5</v>
      </c>
      <c r="F19" s="107"/>
      <c r="G19" s="107"/>
      <c r="H19" s="108"/>
      <c r="I19" s="109"/>
      <c r="J19" s="110">
        <f>E19</f>
        <v>5</v>
      </c>
      <c r="K19" s="107"/>
      <c r="L19" s="107"/>
      <c r="M19" s="108"/>
      <c r="N19" s="109"/>
      <c r="O19" s="107"/>
      <c r="P19" s="107"/>
      <c r="Q19" s="107"/>
      <c r="R19" s="108"/>
      <c r="S19" s="109"/>
      <c r="T19" s="107"/>
      <c r="U19" s="108"/>
    </row>
    <row r="20" spans="1:21" customFormat="1" ht="99.95" customHeight="1" x14ac:dyDescent="0.25">
      <c r="A20" s="281">
        <v>15</v>
      </c>
      <c r="B20" s="284" t="s">
        <v>642</v>
      </c>
      <c r="C20" s="284" t="s">
        <v>643</v>
      </c>
      <c r="D20" s="285" t="s">
        <v>165</v>
      </c>
      <c r="E20" s="283">
        <f>VLOOKUP(A20,'3.2.Evaluación MGPTI'!$A$6:$E$43,5,0)</f>
        <v>5</v>
      </c>
      <c r="F20" s="107"/>
      <c r="G20" s="107"/>
      <c r="H20" s="108"/>
      <c r="I20" s="109"/>
      <c r="J20" s="107"/>
      <c r="K20" s="110">
        <f>E20</f>
        <v>5</v>
      </c>
      <c r="L20" s="107"/>
      <c r="M20" s="108"/>
      <c r="N20" s="109"/>
      <c r="O20" s="107"/>
      <c r="P20" s="107"/>
      <c r="Q20" s="107"/>
      <c r="R20" s="108"/>
      <c r="S20" s="109"/>
      <c r="T20" s="107"/>
      <c r="U20" s="108"/>
    </row>
    <row r="21" spans="1:21" customFormat="1" ht="99.95" customHeight="1" x14ac:dyDescent="0.25">
      <c r="A21" s="281">
        <v>16</v>
      </c>
      <c r="B21" s="284" t="s">
        <v>644</v>
      </c>
      <c r="C21" s="284" t="s">
        <v>645</v>
      </c>
      <c r="D21" s="285" t="s">
        <v>165</v>
      </c>
      <c r="E21" s="283">
        <f>VLOOKUP(A21,'3.2.Evaluación MGPTI'!$A$6:$E$43,5,0)</f>
        <v>5</v>
      </c>
      <c r="F21" s="107"/>
      <c r="G21" s="107"/>
      <c r="H21" s="108"/>
      <c r="I21" s="109"/>
      <c r="J21" s="107"/>
      <c r="K21" s="107"/>
      <c r="L21" s="110">
        <f>E21</f>
        <v>5</v>
      </c>
      <c r="M21" s="108"/>
      <c r="N21" s="109"/>
      <c r="O21" s="107"/>
      <c r="P21" s="107"/>
      <c r="Q21" s="107"/>
      <c r="R21" s="108"/>
      <c r="S21" s="109"/>
      <c r="T21" s="107"/>
      <c r="U21" s="108"/>
    </row>
    <row r="22" spans="1:21" customFormat="1" ht="99.95" customHeight="1" x14ac:dyDescent="0.25">
      <c r="A22" s="281">
        <v>17</v>
      </c>
      <c r="B22" s="284" t="s">
        <v>646</v>
      </c>
      <c r="C22" s="284" t="s">
        <v>647</v>
      </c>
      <c r="D22" s="285" t="s">
        <v>165</v>
      </c>
      <c r="E22" s="283">
        <f>VLOOKUP(A22,'3.2.Evaluación MGPTI'!$A$6:$E$43,5,0)</f>
        <v>5</v>
      </c>
      <c r="F22" s="107"/>
      <c r="G22" s="107"/>
      <c r="H22" s="108"/>
      <c r="I22" s="109"/>
      <c r="J22" s="107"/>
      <c r="K22" s="110">
        <f>E22</f>
        <v>5</v>
      </c>
      <c r="L22" s="107"/>
      <c r="M22" s="108"/>
      <c r="N22" s="109"/>
      <c r="O22" s="107"/>
      <c r="P22" s="107"/>
      <c r="Q22" s="107"/>
      <c r="R22" s="108"/>
      <c r="S22" s="109"/>
      <c r="T22" s="107"/>
      <c r="U22" s="108"/>
    </row>
    <row r="23" spans="1:21" customFormat="1" ht="99.95" customHeight="1" x14ac:dyDescent="0.25">
      <c r="A23" s="281">
        <v>18</v>
      </c>
      <c r="B23" s="284" t="s">
        <v>648</v>
      </c>
      <c r="C23" s="284" t="s">
        <v>649</v>
      </c>
      <c r="D23" s="285" t="s">
        <v>165</v>
      </c>
      <c r="E23" s="283">
        <f>VLOOKUP(A23,'3.2.Evaluación MGPTI'!$A$6:$E$43,5,0)</f>
        <v>5</v>
      </c>
      <c r="F23" s="107"/>
      <c r="G23" s="107"/>
      <c r="H23" s="108"/>
      <c r="I23" s="109"/>
      <c r="J23" s="110">
        <f>E23</f>
        <v>5</v>
      </c>
      <c r="K23" s="107"/>
      <c r="L23" s="107"/>
      <c r="M23" s="108"/>
      <c r="N23" s="109"/>
      <c r="O23" s="107"/>
      <c r="P23" s="107"/>
      <c r="Q23" s="107"/>
      <c r="R23" s="108"/>
      <c r="S23" s="109"/>
      <c r="T23" s="107"/>
      <c r="U23" s="108"/>
    </row>
    <row r="24" spans="1:21" customFormat="1" ht="99.95" customHeight="1" x14ac:dyDescent="0.25">
      <c r="A24" s="281">
        <v>19</v>
      </c>
      <c r="B24" s="284" t="s">
        <v>650</v>
      </c>
      <c r="C24" s="284" t="s">
        <v>651</v>
      </c>
      <c r="D24" s="285" t="s">
        <v>165</v>
      </c>
      <c r="E24" s="283">
        <f>VLOOKUP(A24,'3.2.Evaluación MGPTI'!$A$6:$E$43,5,0)</f>
        <v>5</v>
      </c>
      <c r="F24" s="107"/>
      <c r="G24" s="107"/>
      <c r="H24" s="108"/>
      <c r="I24" s="109"/>
      <c r="J24" s="107"/>
      <c r="K24" s="107"/>
      <c r="L24" s="107"/>
      <c r="M24" s="111">
        <f>E24</f>
        <v>5</v>
      </c>
      <c r="N24" s="109"/>
      <c r="O24" s="107"/>
      <c r="P24" s="107"/>
      <c r="Q24" s="107"/>
      <c r="R24" s="108"/>
      <c r="S24" s="109"/>
      <c r="T24" s="107"/>
      <c r="U24" s="108"/>
    </row>
    <row r="25" spans="1:21" customFormat="1" ht="117" customHeight="1" x14ac:dyDescent="0.25">
      <c r="A25" s="281">
        <v>20</v>
      </c>
      <c r="B25" s="284" t="s">
        <v>652</v>
      </c>
      <c r="C25" s="284" t="s">
        <v>653</v>
      </c>
      <c r="D25" s="285" t="s">
        <v>165</v>
      </c>
      <c r="E25" s="283">
        <f>VLOOKUP(A25,'3.2.Evaluación MGPTI'!$A$6:$E$43,5,0)</f>
        <v>5</v>
      </c>
      <c r="F25" s="107"/>
      <c r="G25" s="107"/>
      <c r="H25" s="108"/>
      <c r="I25" s="109"/>
      <c r="J25" s="107"/>
      <c r="K25" s="110">
        <f>E25</f>
        <v>5</v>
      </c>
      <c r="L25" s="107"/>
      <c r="M25" s="108"/>
      <c r="N25" s="109"/>
      <c r="O25" s="107"/>
      <c r="P25" s="107"/>
      <c r="Q25" s="107"/>
      <c r="R25" s="108"/>
      <c r="S25" s="109"/>
      <c r="T25" s="107"/>
      <c r="U25" s="108"/>
    </row>
    <row r="26" spans="1:21" customFormat="1" ht="99.95" customHeight="1" x14ac:dyDescent="0.25">
      <c r="A26" s="281">
        <v>21</v>
      </c>
      <c r="B26" s="284" t="s">
        <v>654</v>
      </c>
      <c r="C26" s="284" t="s">
        <v>655</v>
      </c>
      <c r="D26" s="285" t="s">
        <v>165</v>
      </c>
      <c r="E26" s="283">
        <f>VLOOKUP(A26,'3.2.Evaluación MGPTI'!$A$6:$E$43,5,0)</f>
        <v>5</v>
      </c>
      <c r="F26" s="107"/>
      <c r="G26" s="107"/>
      <c r="H26" s="108"/>
      <c r="I26" s="106">
        <f>E26</f>
        <v>5</v>
      </c>
      <c r="J26" s="107"/>
      <c r="K26" s="107"/>
      <c r="L26" s="107"/>
      <c r="M26" s="108"/>
      <c r="N26" s="109"/>
      <c r="O26" s="107"/>
      <c r="P26" s="107"/>
      <c r="Q26" s="107"/>
      <c r="R26" s="108"/>
      <c r="S26" s="109"/>
      <c r="T26" s="107"/>
      <c r="U26" s="108"/>
    </row>
    <row r="27" spans="1:21" customFormat="1" ht="99.95" customHeight="1" x14ac:dyDescent="0.25">
      <c r="A27" s="281">
        <v>22</v>
      </c>
      <c r="B27" s="284" t="s">
        <v>656</v>
      </c>
      <c r="C27" s="284" t="s">
        <v>657</v>
      </c>
      <c r="D27" s="282" t="s">
        <v>176</v>
      </c>
      <c r="E27" s="283">
        <f>VLOOKUP(A27,'3.2.Evaluación MGPTI'!$A$6:$E$43,5,0)</f>
        <v>5</v>
      </c>
      <c r="F27" s="107"/>
      <c r="G27" s="107"/>
      <c r="H27" s="108"/>
      <c r="I27" s="109"/>
      <c r="J27" s="107"/>
      <c r="K27" s="107"/>
      <c r="L27" s="107"/>
      <c r="M27" s="111">
        <f>E27</f>
        <v>5</v>
      </c>
      <c r="N27" s="109"/>
      <c r="O27" s="110">
        <f>E27</f>
        <v>5</v>
      </c>
      <c r="P27" s="107"/>
      <c r="Q27" s="107"/>
      <c r="R27" s="108"/>
      <c r="S27" s="109"/>
      <c r="T27" s="107"/>
      <c r="U27" s="108"/>
    </row>
    <row r="28" spans="1:21" customFormat="1" ht="137.1" customHeight="1" x14ac:dyDescent="0.25">
      <c r="A28" s="281">
        <v>23</v>
      </c>
      <c r="B28" s="284" t="s">
        <v>658</v>
      </c>
      <c r="C28" s="284" t="s">
        <v>659</v>
      </c>
      <c r="D28" s="282" t="s">
        <v>176</v>
      </c>
      <c r="E28" s="283">
        <f>VLOOKUP(A28,'3.2.Evaluación MGPTI'!$A$6:$E$43,5,0)</f>
        <v>5</v>
      </c>
      <c r="F28" s="107"/>
      <c r="G28" s="107"/>
      <c r="H28" s="108"/>
      <c r="I28" s="109"/>
      <c r="J28" s="107"/>
      <c r="K28" s="107"/>
      <c r="L28" s="107"/>
      <c r="M28" s="111">
        <f>E28</f>
        <v>5</v>
      </c>
      <c r="N28" s="106">
        <f>E28</f>
        <v>5</v>
      </c>
      <c r="O28" s="107"/>
      <c r="P28" s="107"/>
      <c r="Q28" s="107"/>
      <c r="R28" s="108"/>
      <c r="S28" s="109"/>
      <c r="T28" s="107"/>
      <c r="U28" s="108"/>
    </row>
    <row r="29" spans="1:21" customFormat="1" ht="155.1" customHeight="1" x14ac:dyDescent="0.25">
      <c r="A29" s="281">
        <v>24</v>
      </c>
      <c r="B29" s="284" t="s">
        <v>660</v>
      </c>
      <c r="C29" s="284" t="s">
        <v>661</v>
      </c>
      <c r="D29" s="282" t="s">
        <v>176</v>
      </c>
      <c r="E29" s="283">
        <f>VLOOKUP(A29,'3.2.Evaluación MGPTI'!$A$6:$E$43,5,0)</f>
        <v>5</v>
      </c>
      <c r="F29" s="107"/>
      <c r="G29" s="107"/>
      <c r="H29" s="108"/>
      <c r="I29" s="109"/>
      <c r="J29" s="107"/>
      <c r="K29" s="107"/>
      <c r="L29" s="107"/>
      <c r="M29" s="111">
        <f>E29</f>
        <v>5</v>
      </c>
      <c r="N29" s="109"/>
      <c r="O29" s="107"/>
      <c r="P29" s="110">
        <f>E29</f>
        <v>5</v>
      </c>
      <c r="Q29" s="107"/>
      <c r="R29" s="108"/>
      <c r="S29" s="109"/>
      <c r="T29" s="107"/>
      <c r="U29" s="108"/>
    </row>
    <row r="30" spans="1:21" customFormat="1" ht="99.95" customHeight="1" x14ac:dyDescent="0.25">
      <c r="A30" s="281">
        <v>25</v>
      </c>
      <c r="B30" s="284" t="s">
        <v>662</v>
      </c>
      <c r="C30" s="284" t="s">
        <v>663</v>
      </c>
      <c r="D30" s="282" t="s">
        <v>176</v>
      </c>
      <c r="E30" s="283">
        <f>VLOOKUP(A30,'3.2.Evaluación MGPTI'!$A$6:$E$43,5,0)</f>
        <v>5</v>
      </c>
      <c r="F30" s="107"/>
      <c r="G30" s="107"/>
      <c r="H30" s="108"/>
      <c r="I30" s="109"/>
      <c r="J30" s="107"/>
      <c r="K30" s="107"/>
      <c r="L30" s="107"/>
      <c r="M30" s="108"/>
      <c r="N30" s="109"/>
      <c r="O30" s="110">
        <f>E30</f>
        <v>5</v>
      </c>
      <c r="P30" s="107"/>
      <c r="Q30" s="107"/>
      <c r="R30" s="108"/>
      <c r="S30" s="109"/>
      <c r="T30" s="107"/>
      <c r="U30" s="108"/>
    </row>
    <row r="31" spans="1:21" customFormat="1" ht="99.95" customHeight="1" x14ac:dyDescent="0.25">
      <c r="A31" s="281">
        <v>26</v>
      </c>
      <c r="B31" s="284" t="s">
        <v>664</v>
      </c>
      <c r="C31" s="284" t="s">
        <v>665</v>
      </c>
      <c r="D31" s="282" t="s">
        <v>176</v>
      </c>
      <c r="E31" s="283">
        <f>VLOOKUP(A31,'3.2.Evaluación MGPTI'!$A$6:$E$43,5,0)</f>
        <v>5</v>
      </c>
      <c r="F31" s="107"/>
      <c r="G31" s="107"/>
      <c r="H31" s="108"/>
      <c r="I31" s="109"/>
      <c r="J31" s="107"/>
      <c r="K31" s="107"/>
      <c r="L31" s="107"/>
      <c r="M31" s="108"/>
      <c r="N31" s="109"/>
      <c r="O31" s="110">
        <f>E31</f>
        <v>5</v>
      </c>
      <c r="P31" s="107"/>
      <c r="Q31" s="107"/>
      <c r="R31" s="108"/>
      <c r="S31" s="109"/>
      <c r="T31" s="107"/>
      <c r="U31" s="108"/>
    </row>
    <row r="32" spans="1:21" customFormat="1" ht="99.95" customHeight="1" x14ac:dyDescent="0.25">
      <c r="A32" s="281">
        <v>27</v>
      </c>
      <c r="B32" s="284" t="s">
        <v>666</v>
      </c>
      <c r="C32" s="284" t="s">
        <v>667</v>
      </c>
      <c r="D32" s="282" t="s">
        <v>176</v>
      </c>
      <c r="E32" s="283">
        <f>VLOOKUP(A32,'3.2.Evaluación MGPTI'!$A$6:$E$43,5,0)</f>
        <v>5</v>
      </c>
      <c r="F32" s="107"/>
      <c r="G32" s="107"/>
      <c r="H32" s="108"/>
      <c r="I32" s="109"/>
      <c r="J32" s="107"/>
      <c r="K32" s="107"/>
      <c r="L32" s="107"/>
      <c r="M32" s="108"/>
      <c r="N32" s="109"/>
      <c r="O32" s="107"/>
      <c r="P32" s="107"/>
      <c r="Q32" s="110">
        <f>E32</f>
        <v>5</v>
      </c>
      <c r="R32" s="108"/>
      <c r="S32" s="109"/>
      <c r="T32" s="107"/>
      <c r="U32" s="108"/>
    </row>
    <row r="33" spans="1:21" customFormat="1" ht="99.95" customHeight="1" x14ac:dyDescent="0.25">
      <c r="A33" s="281">
        <v>28</v>
      </c>
      <c r="B33" s="284" t="s">
        <v>668</v>
      </c>
      <c r="C33" s="284" t="s">
        <v>669</v>
      </c>
      <c r="D33" s="282" t="s">
        <v>176</v>
      </c>
      <c r="E33" s="283">
        <f>VLOOKUP(A33,'3.2.Evaluación MGPTI'!$A$6:$E$43,5,0)</f>
        <v>5</v>
      </c>
      <c r="F33" s="107"/>
      <c r="G33" s="107"/>
      <c r="H33" s="108"/>
      <c r="I33" s="109"/>
      <c r="J33" s="107"/>
      <c r="K33" s="107"/>
      <c r="L33" s="107"/>
      <c r="M33" s="108"/>
      <c r="N33" s="109"/>
      <c r="O33" s="107"/>
      <c r="P33" s="110">
        <f>E33</f>
        <v>5</v>
      </c>
      <c r="Q33" s="107"/>
      <c r="R33" s="108"/>
      <c r="S33" s="109"/>
      <c r="T33" s="107"/>
      <c r="U33" s="108"/>
    </row>
    <row r="34" spans="1:21" customFormat="1" ht="99.95" customHeight="1" x14ac:dyDescent="0.25">
      <c r="A34" s="281">
        <v>29</v>
      </c>
      <c r="B34" s="284" t="s">
        <v>670</v>
      </c>
      <c r="C34" s="284" t="s">
        <v>671</v>
      </c>
      <c r="D34" s="282" t="s">
        <v>176</v>
      </c>
      <c r="E34" s="283">
        <f>VLOOKUP(A34,'3.2.Evaluación MGPTI'!$A$6:$E$43,5,0)</f>
        <v>5</v>
      </c>
      <c r="F34" s="107"/>
      <c r="G34" s="107"/>
      <c r="H34" s="108"/>
      <c r="I34" s="109"/>
      <c r="J34" s="107"/>
      <c r="K34" s="107"/>
      <c r="L34" s="107"/>
      <c r="M34" s="108"/>
      <c r="N34" s="109"/>
      <c r="O34" s="107"/>
      <c r="P34" s="110">
        <f>E34</f>
        <v>5</v>
      </c>
      <c r="Q34" s="107"/>
      <c r="R34" s="108"/>
      <c r="S34" s="109"/>
      <c r="T34" s="107"/>
      <c r="U34" s="108"/>
    </row>
    <row r="35" spans="1:21" customFormat="1" ht="99.95" customHeight="1" x14ac:dyDescent="0.25">
      <c r="A35" s="281">
        <v>30</v>
      </c>
      <c r="B35" s="284" t="s">
        <v>672</v>
      </c>
      <c r="C35" s="284" t="s">
        <v>673</v>
      </c>
      <c r="D35" s="282" t="s">
        <v>176</v>
      </c>
      <c r="E35" s="283">
        <f>VLOOKUP(A35,'3.2.Evaluación MGPTI'!$A$6:$E$43,5,0)</f>
        <v>5</v>
      </c>
      <c r="F35" s="107"/>
      <c r="G35" s="107"/>
      <c r="H35" s="108"/>
      <c r="I35" s="109"/>
      <c r="J35" s="107"/>
      <c r="K35" s="107"/>
      <c r="L35" s="107"/>
      <c r="M35" s="108"/>
      <c r="N35" s="109"/>
      <c r="O35" s="107"/>
      <c r="P35" s="107"/>
      <c r="Q35" s="107"/>
      <c r="R35" s="111">
        <f>E35</f>
        <v>5</v>
      </c>
      <c r="S35" s="109"/>
      <c r="T35" s="107"/>
      <c r="U35" s="108"/>
    </row>
    <row r="36" spans="1:21" customFormat="1" ht="99.95" customHeight="1" x14ac:dyDescent="0.25">
      <c r="A36" s="281">
        <v>31</v>
      </c>
      <c r="B36" s="284" t="s">
        <v>674</v>
      </c>
      <c r="C36" s="284" t="s">
        <v>675</v>
      </c>
      <c r="D36" s="282" t="s">
        <v>176</v>
      </c>
      <c r="E36" s="283">
        <f>VLOOKUP(A36,'3.2.Evaluación MGPTI'!$A$6:$E$43,5,0)</f>
        <v>5</v>
      </c>
      <c r="F36" s="107"/>
      <c r="G36" s="107"/>
      <c r="H36" s="108"/>
      <c r="I36" s="109"/>
      <c r="J36" s="107"/>
      <c r="K36" s="107"/>
      <c r="L36" s="107"/>
      <c r="M36" s="108"/>
      <c r="N36" s="109"/>
      <c r="O36" s="110">
        <f>E36</f>
        <v>5</v>
      </c>
      <c r="P36" s="107"/>
      <c r="Q36" s="107"/>
      <c r="R36" s="108"/>
      <c r="S36" s="109"/>
      <c r="T36" s="107"/>
      <c r="U36" s="108"/>
    </row>
    <row r="37" spans="1:21" customFormat="1" ht="99.95" customHeight="1" x14ac:dyDescent="0.25">
      <c r="A37" s="281">
        <v>32</v>
      </c>
      <c r="B37" s="284" t="s">
        <v>676</v>
      </c>
      <c r="C37" s="284" t="s">
        <v>677</v>
      </c>
      <c r="D37" s="282" t="s">
        <v>176</v>
      </c>
      <c r="E37" s="283">
        <f>VLOOKUP(A37,'3.2.Evaluación MGPTI'!$A$6:$E$43,5,0)</f>
        <v>5</v>
      </c>
      <c r="F37" s="107"/>
      <c r="G37" s="107"/>
      <c r="H37" s="108"/>
      <c r="I37" s="109"/>
      <c r="J37" s="107"/>
      <c r="K37" s="107"/>
      <c r="L37" s="107"/>
      <c r="M37" s="108"/>
      <c r="N37" s="109"/>
      <c r="O37" s="110">
        <f>E37</f>
        <v>5</v>
      </c>
      <c r="P37" s="107"/>
      <c r="Q37" s="107"/>
      <c r="R37" s="108"/>
      <c r="S37" s="109"/>
      <c r="T37" s="107"/>
      <c r="U37" s="108"/>
    </row>
    <row r="38" spans="1:21" customFormat="1" ht="99.95" customHeight="1" x14ac:dyDescent="0.25">
      <c r="A38" s="281">
        <v>33</v>
      </c>
      <c r="B38" s="284" t="s">
        <v>678</v>
      </c>
      <c r="C38" s="284" t="s">
        <v>679</v>
      </c>
      <c r="D38" s="282" t="s">
        <v>184</v>
      </c>
      <c r="E38" s="283">
        <f>VLOOKUP(A38,'3.2.Evaluación MGPTI'!$A$6:$E$43,5,0)</f>
        <v>5</v>
      </c>
      <c r="F38" s="107"/>
      <c r="G38" s="107"/>
      <c r="H38" s="108"/>
      <c r="I38" s="109"/>
      <c r="J38" s="107"/>
      <c r="K38" s="107"/>
      <c r="L38" s="107"/>
      <c r="M38" s="108"/>
      <c r="N38" s="109"/>
      <c r="O38" s="107"/>
      <c r="P38" s="107"/>
      <c r="Q38" s="107"/>
      <c r="R38" s="108"/>
      <c r="S38" s="110">
        <f>E38</f>
        <v>5</v>
      </c>
      <c r="T38" s="107"/>
      <c r="U38" s="108"/>
    </row>
    <row r="39" spans="1:21" customFormat="1" ht="99.95" customHeight="1" x14ac:dyDescent="0.25">
      <c r="A39" s="281">
        <v>34</v>
      </c>
      <c r="B39" s="284" t="s">
        <v>680</v>
      </c>
      <c r="C39" s="284" t="s">
        <v>681</v>
      </c>
      <c r="D39" s="282" t="s">
        <v>184</v>
      </c>
      <c r="E39" s="283">
        <f>VLOOKUP(A39,'3.2.Evaluación MGPTI'!$A$6:$E$43,5,0)</f>
        <v>5</v>
      </c>
      <c r="F39" s="107"/>
      <c r="G39" s="107"/>
      <c r="H39" s="108"/>
      <c r="I39" s="109"/>
      <c r="J39" s="107"/>
      <c r="K39" s="107"/>
      <c r="L39" s="107"/>
      <c r="M39" s="108"/>
      <c r="N39" s="109"/>
      <c r="O39" s="107"/>
      <c r="P39" s="107"/>
      <c r="Q39" s="107"/>
      <c r="R39" s="108"/>
      <c r="S39" s="109"/>
      <c r="T39" s="110">
        <f>E39</f>
        <v>5</v>
      </c>
      <c r="U39" s="108"/>
    </row>
    <row r="40" spans="1:21" customFormat="1" ht="99.95" customHeight="1" x14ac:dyDescent="0.25">
      <c r="A40" s="281">
        <v>35</v>
      </c>
      <c r="B40" s="284" t="s">
        <v>682</v>
      </c>
      <c r="C40" s="284" t="s">
        <v>683</v>
      </c>
      <c r="D40" s="282" t="s">
        <v>184</v>
      </c>
      <c r="E40" s="283">
        <f>VLOOKUP(A40,'3.2.Evaluación MGPTI'!$A$6:$E$43,5,0)</f>
        <v>5</v>
      </c>
      <c r="F40" s="107"/>
      <c r="G40" s="107"/>
      <c r="H40" s="108"/>
      <c r="I40" s="109"/>
      <c r="J40" s="107"/>
      <c r="K40" s="107"/>
      <c r="L40" s="107"/>
      <c r="M40" s="108"/>
      <c r="N40" s="109"/>
      <c r="O40" s="107"/>
      <c r="P40" s="107"/>
      <c r="Q40" s="107"/>
      <c r="R40" s="108"/>
      <c r="S40" s="109"/>
      <c r="T40" s="110">
        <f>E40</f>
        <v>5</v>
      </c>
      <c r="U40" s="108"/>
    </row>
    <row r="41" spans="1:21" customFormat="1" ht="99.95" customHeight="1" x14ac:dyDescent="0.25">
      <c r="A41" s="281">
        <v>36</v>
      </c>
      <c r="B41" s="284" t="s">
        <v>684</v>
      </c>
      <c r="C41" s="284" t="s">
        <v>685</v>
      </c>
      <c r="D41" s="282" t="s">
        <v>184</v>
      </c>
      <c r="E41" s="283">
        <f>VLOOKUP(A41,'3.2.Evaluación MGPTI'!$A$6:$E$43,5,0)</f>
        <v>5</v>
      </c>
      <c r="F41" s="107"/>
      <c r="G41" s="107"/>
      <c r="H41" s="108"/>
      <c r="I41" s="109"/>
      <c r="J41" s="107"/>
      <c r="K41" s="107"/>
      <c r="L41" s="107"/>
      <c r="M41" s="108"/>
      <c r="N41" s="109"/>
      <c r="O41" s="107"/>
      <c r="P41" s="107"/>
      <c r="Q41" s="107"/>
      <c r="R41" s="108"/>
      <c r="S41" s="106">
        <f>E41</f>
        <v>5</v>
      </c>
      <c r="T41" s="107"/>
      <c r="U41" s="108"/>
    </row>
    <row r="42" spans="1:21" customFormat="1" ht="71.25" x14ac:dyDescent="0.25">
      <c r="A42" s="281">
        <v>37</v>
      </c>
      <c r="B42" s="284" t="s">
        <v>686</v>
      </c>
      <c r="C42" s="284" t="s">
        <v>687</v>
      </c>
      <c r="D42" s="282" t="s">
        <v>184</v>
      </c>
      <c r="E42" s="283">
        <f>VLOOKUP(A42,'3.2.Evaluación MGPTI'!$A$6:$E$43,5,0)</f>
        <v>5</v>
      </c>
      <c r="F42" s="107"/>
      <c r="G42" s="107"/>
      <c r="H42" s="108"/>
      <c r="I42" s="109"/>
      <c r="J42" s="107"/>
      <c r="K42" s="107"/>
      <c r="L42" s="107"/>
      <c r="M42" s="108"/>
      <c r="N42" s="109"/>
      <c r="O42" s="107"/>
      <c r="P42" s="107"/>
      <c r="Q42" s="107"/>
      <c r="R42" s="108"/>
      <c r="S42" s="106">
        <f>E42</f>
        <v>5</v>
      </c>
      <c r="T42" s="107"/>
      <c r="U42" s="108"/>
    </row>
    <row r="43" spans="1:21" customFormat="1" ht="100.5" thickBot="1" x14ac:dyDescent="0.3">
      <c r="A43" s="281">
        <v>38</v>
      </c>
      <c r="B43" s="284" t="s">
        <v>688</v>
      </c>
      <c r="C43" s="284" t="s">
        <v>689</v>
      </c>
      <c r="D43" s="282" t="s">
        <v>184</v>
      </c>
      <c r="E43" s="283">
        <f>VLOOKUP(A43,'3.2.Evaluación MGPTI'!$A$6:$E$43,5,0)</f>
        <v>5</v>
      </c>
      <c r="F43" s="114"/>
      <c r="G43" s="114"/>
      <c r="H43" s="115"/>
      <c r="I43" s="113"/>
      <c r="J43" s="114"/>
      <c r="K43" s="114"/>
      <c r="L43" s="114"/>
      <c r="M43" s="115"/>
      <c r="N43" s="113"/>
      <c r="O43" s="114"/>
      <c r="P43" s="114"/>
      <c r="Q43" s="114"/>
      <c r="R43" s="115"/>
      <c r="S43" s="113"/>
      <c r="T43" s="114"/>
      <c r="U43" s="161">
        <f>E43</f>
        <v>5</v>
      </c>
    </row>
  </sheetData>
  <sheetProtection algorithmName="SHA-512" hashValue="NPQA9GxRRksX8lgef+TIHKzWSwIZH58/lmkGcuLCVR0scCSHieFvwtWeT6/zCCeq4+rF3ciSgIAd2yymMXbT5A==" saltValue="sL84mZlGswqytH3yxutEtQ==" spinCount="100000" autoFilter="0" pivotTables="0"/>
  <autoFilter ref="A5:U43" xr:uid="{7E480051-2A6F-9E46-866E-EE328FA4F087}"/>
  <mergeCells count="6">
    <mergeCell ref="N4:R4"/>
    <mergeCell ref="S4:U4"/>
    <mergeCell ref="C2:U2"/>
    <mergeCell ref="C4:E4"/>
    <mergeCell ref="F4:H4"/>
    <mergeCell ref="I4:M4"/>
  </mergeCells>
  <hyperlinks>
    <hyperlink ref="A1" location="Inicio!A1" display="Inicio" xr:uid="{587C6253-76DB-3948-8523-D4FB45066455}"/>
  </hyperlinks>
  <pageMargins left="0.7" right="0.7" top="0.75" bottom="0.75" header="0.3" footer="0.3"/>
  <pageSetup orientation="portrait" horizontalDpi="0" verticalDpi="0"/>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E28E7-810D-6845-8343-81A40065AB6A}">
  <sheetPr codeName="Hoja12"/>
  <dimension ref="A1:G43"/>
  <sheetViews>
    <sheetView showGridLines="0" zoomScale="85" zoomScaleNormal="85" workbookViewId="0"/>
  </sheetViews>
  <sheetFormatPr baseColWidth="10" defaultColWidth="10.875" defaultRowHeight="12.75" x14ac:dyDescent="0.2"/>
  <cols>
    <col min="1" max="1" width="10.875" style="162"/>
    <col min="2" max="2" width="19.375" style="162" customWidth="1"/>
    <col min="3" max="3" width="36.625" style="162" customWidth="1"/>
    <col min="4" max="4" width="20.5" style="162" customWidth="1"/>
    <col min="5" max="5" width="8.375" style="162" bestFit="1" customWidth="1"/>
    <col min="6" max="6" width="49.5" style="266" customWidth="1"/>
    <col min="7" max="7" width="58.375" style="266" customWidth="1"/>
    <col min="8" max="16384" width="10.875" style="162"/>
  </cols>
  <sheetData>
    <row r="1" spans="1:7" ht="15" x14ac:dyDescent="0.25">
      <c r="A1" s="273" t="s">
        <v>52</v>
      </c>
    </row>
    <row r="2" spans="1:7" ht="57" customHeight="1" x14ac:dyDescent="0.2">
      <c r="A2" s="392" t="s">
        <v>690</v>
      </c>
      <c r="B2" s="393"/>
      <c r="C2" s="393"/>
      <c r="D2" s="393"/>
      <c r="E2" s="393"/>
      <c r="F2" s="393"/>
      <c r="G2" s="393"/>
    </row>
    <row r="3" spans="1:7" ht="13.5" thickBot="1" x14ac:dyDescent="0.25"/>
    <row r="4" spans="1:7" ht="27.95" customHeight="1" thickBot="1" x14ac:dyDescent="0.25">
      <c r="F4" s="403" t="s">
        <v>289</v>
      </c>
      <c r="G4" s="404"/>
    </row>
    <row r="5" spans="1:7" ht="26.1" customHeight="1" thickBot="1" x14ac:dyDescent="0.25">
      <c r="A5" s="286" t="s">
        <v>215</v>
      </c>
      <c r="B5" s="286" t="s">
        <v>314</v>
      </c>
      <c r="C5" s="287" t="s">
        <v>315</v>
      </c>
      <c r="D5" s="287" t="s">
        <v>595</v>
      </c>
      <c r="E5" s="296" t="s">
        <v>192</v>
      </c>
      <c r="F5" s="299" t="s">
        <v>290</v>
      </c>
      <c r="G5" s="298" t="s">
        <v>291</v>
      </c>
    </row>
    <row r="6" spans="1:7" ht="81.95" customHeight="1" thickBot="1" x14ac:dyDescent="0.25">
      <c r="A6" s="308">
        <v>1</v>
      </c>
      <c r="B6" s="309" t="str">
        <f>VLOOKUP(A6,'3.1.Atributos MGPTI'!$A$6:$D$43,2,0)</f>
        <v>Cumplimiento normativo</v>
      </c>
      <c r="C6" s="309" t="str">
        <f>VLOOKUP(A6,'3.1.Atributos MGPTI'!$A$6:$D$43,3,0)</f>
        <v xml:space="preserve">En la estructuración, gestión y ejecución de los proyectos de TI se analiza y se incorpora el marco normativo relacionado que direcciona legalmente la ejecución del proyecto. </v>
      </c>
      <c r="D6" s="309" t="str">
        <f>VLOOKUP(A6,'3.1.Atributos MGPTI'!$A$6:$D$43,4,0)</f>
        <v>Contexto estratégico</v>
      </c>
      <c r="E6" s="297">
        <v>5</v>
      </c>
      <c r="F6" s="332" t="s">
        <v>691</v>
      </c>
      <c r="G6" s="333" t="s">
        <v>692</v>
      </c>
    </row>
    <row r="7" spans="1:7" ht="127.5" x14ac:dyDescent="0.2">
      <c r="A7" s="308">
        <v>2</v>
      </c>
      <c r="B7" s="309" t="str">
        <f>VLOOKUP(A7,'3.1.Atributos MGPTI'!$A$6:$D$43,2,0)</f>
        <v>Alineación estrátégica</v>
      </c>
      <c r="C7" s="309" t="str">
        <f>VLOOKUP(A7,'3.1.Atributos MGPTI'!$A$6:$D$43,3,0)</f>
        <v>Los proyectos de TI que se gestionan tienen una intencionalidad estratégica o fin superior definidos, hacen parte del portafolio de proyectos de TI que se consolida a partir de los resultados de ejercicios de planeación estratégica institucional que establecen iniciativas con componentes de TI (Plan estratégico institucional, Plan de Transformación digital, PETI, Arquitectura Empresarial, etc)</v>
      </c>
      <c r="D7" s="309" t="str">
        <f>VLOOKUP(A7,'3.1.Atributos MGPTI'!$A$6:$D$43,4,0)</f>
        <v>Contexto estratégico</v>
      </c>
      <c r="E7" s="297">
        <v>5</v>
      </c>
      <c r="F7" s="332" t="s">
        <v>691</v>
      </c>
      <c r="G7" s="305" t="s">
        <v>693</v>
      </c>
    </row>
    <row r="8" spans="1:7" ht="66.95" customHeight="1" x14ac:dyDescent="0.2">
      <c r="A8" s="308">
        <v>3</v>
      </c>
      <c r="B8" s="309" t="str">
        <f>VLOOKUP(A8,'3.1.Atributos MGPTI'!$A$6:$D$43,2,0)</f>
        <v>Generación de valor público</v>
      </c>
      <c r="C8" s="309" t="str">
        <f>VLOOKUP(A8,'3.1.Atributos MGPTI'!$A$6:$D$43,3,0)</f>
        <v>Existen y se implementan mecanismos o procedimientos como parte de la gestión de proyectos para la identificación y medición del valor público generado con su desarrollo.</v>
      </c>
      <c r="D8" s="309" t="str">
        <f>VLOOKUP(A8,'3.1.Atributos MGPTI'!$A$6:$D$43,4,0)</f>
        <v>Contexto estratégico</v>
      </c>
      <c r="E8" s="297">
        <v>5</v>
      </c>
      <c r="F8" s="306" t="s">
        <v>694</v>
      </c>
      <c r="G8" s="305"/>
    </row>
    <row r="9" spans="1:7" ht="99.95" customHeight="1" x14ac:dyDescent="0.2">
      <c r="A9" s="308">
        <v>4</v>
      </c>
      <c r="B9" s="309" t="str">
        <f>VLOOKUP(A9,'3.1.Atributos MGPTI'!$A$6:$D$43,2,0)</f>
        <v>Proceso de gestión de proyectos</v>
      </c>
      <c r="C9" s="309" t="str">
        <f>VLOOKUP(A9,'3.1.Atributos MGPTI'!$A$6:$D$43,3,0)</f>
        <v xml:space="preserve">Existe en la entidad  un proceso transversal para guiar la gestión de proyectos en general que es implementado en la gestión de los proyectos de TI con las particularidades propias de este tipo de proyectos. </v>
      </c>
      <c r="D9" s="309" t="str">
        <f>VLOOKUP(A9,'3.1.Atributos MGPTI'!$A$6:$D$43,4,0)</f>
        <v>Contexto estratégico</v>
      </c>
      <c r="E9" s="297">
        <v>5</v>
      </c>
      <c r="F9" s="306" t="s">
        <v>695</v>
      </c>
      <c r="G9" s="305"/>
    </row>
    <row r="10" spans="1:7" ht="99.95" customHeight="1" x14ac:dyDescent="0.2">
      <c r="A10" s="308">
        <v>5</v>
      </c>
      <c r="B10" s="309" t="str">
        <f>VLOOKUP(A10,'3.1.Atributos MGPTI'!$A$6:$D$43,2,0)</f>
        <v>Banco de proyectos</v>
      </c>
      <c r="C10" s="309" t="str">
        <f>VLOOKUP(A10,'3.1.Atributos MGPTI'!$A$6:$D$43,3,0)</f>
        <v xml:space="preserve">La entidad cuenta un repositorio institucional de proyectos y es utilizado para consolidar y gestionar la información de los proyectos de TI. Existe un mecanismo estandarizado para su actualización y gestión. </v>
      </c>
      <c r="D10" s="309" t="str">
        <f>VLOOKUP(A10,'3.1.Atributos MGPTI'!$A$6:$D$43,4,0)</f>
        <v>Contexto estratégico</v>
      </c>
      <c r="E10" s="297">
        <v>5</v>
      </c>
      <c r="F10" s="306"/>
      <c r="G10" s="305"/>
    </row>
    <row r="11" spans="1:7" ht="89.25" x14ac:dyDescent="0.2">
      <c r="A11" s="308">
        <v>6</v>
      </c>
      <c r="B11" s="309" t="str">
        <f>VLOOKUP(A11,'3.1.Atributos MGPTI'!$A$6:$D$43,2,0)</f>
        <v>Oficina de proyectos</v>
      </c>
      <c r="C11" s="309" t="str">
        <f>VLOOKUP(A11,'3.1.Atributos MGPTI'!$A$6:$D$43,3,0)</f>
        <v>Existe un organismo o estructura organizacional para la gestión de proyectos de TI que funciona de manera articulada y con los lineamientos de la gestión de proyectos que es transversal a la entidad. Este organismo apoya la estandarización y optimización los procesos particulares de la gestión de proyectos TI.</v>
      </c>
      <c r="D11" s="309" t="str">
        <f>VLOOKUP(A11,'3.1.Atributos MGPTI'!$A$6:$D$43,4,0)</f>
        <v>Contexto estratégico</v>
      </c>
      <c r="E11" s="297">
        <v>5</v>
      </c>
      <c r="F11" s="306"/>
      <c r="G11" s="305"/>
    </row>
    <row r="12" spans="1:7" ht="99.95" customHeight="1" x14ac:dyDescent="0.2">
      <c r="A12" s="308">
        <v>7</v>
      </c>
      <c r="B12" s="309" t="str">
        <f>VLOOKUP(A12,'3.1.Atributos MGPTI'!$A$6:$D$43,2,0)</f>
        <v>Liderazgo proyectos de TI</v>
      </c>
      <c r="C12" s="309" t="str">
        <f>VLOOKUP(A12,'3.1.Atributos MGPTI'!$A$6:$D$43,3,0)</f>
        <v>El organismo o estructura responsable de la gestión de TI en la entidad lidera gestión y supervisión de los proyectos de TI o con componentes de TI.</v>
      </c>
      <c r="D12" s="309" t="str">
        <f>VLOOKUP(A12,'3.1.Atributos MGPTI'!$A$6:$D$43,4,0)</f>
        <v>Contexto estratégico</v>
      </c>
      <c r="E12" s="297">
        <v>5</v>
      </c>
      <c r="F12" s="306"/>
      <c r="G12" s="305"/>
    </row>
    <row r="13" spans="1:7" ht="127.5" x14ac:dyDescent="0.2">
      <c r="A13" s="308">
        <v>8</v>
      </c>
      <c r="B13" s="309" t="str">
        <f>VLOOKUP(A13,'3.1.Atributos MGPTI'!$A$6:$D$43,2,0)</f>
        <v>Formulación de los proyectos</v>
      </c>
      <c r="C13" s="309" t="str">
        <f>VLOOKUP(A13,'3.1.Atributos MGPTI'!$A$6:$D$43,3,0)</f>
        <v>Los proyectos de TI se formulan de manera general, teniendo en cuenta el marco de planeación institucional buscando con la medición de sus resultados aportar al reporte de avance y medición de metas institucionales, y de manera particular,  con la aplicación de buenas prácticas internacionales para la gestión de proyectos que aseguran el exito de se ejecución según las necesidades y naturaleza de cada proyecto.</v>
      </c>
      <c r="D13" s="309" t="str">
        <f>VLOOKUP(A13,'3.1.Atributos MGPTI'!$A$6:$D$43,4,0)</f>
        <v>Contexto estratégico</v>
      </c>
      <c r="E13" s="297">
        <v>5</v>
      </c>
      <c r="F13" s="306"/>
      <c r="G13" s="305"/>
    </row>
    <row r="14" spans="1:7" ht="99.95" customHeight="1" x14ac:dyDescent="0.2">
      <c r="A14" s="308">
        <v>9</v>
      </c>
      <c r="B14" s="309" t="str">
        <f>VLOOKUP(A14,'3.1.Atributos MGPTI'!$A$6:$D$43,2,0)</f>
        <v>Ficha de proyecto</v>
      </c>
      <c r="C14" s="309" t="str">
        <f>VLOOKUP(A14,'3.1.Atributos MGPTI'!$A$6:$D$43,3,0)</f>
        <v xml:space="preserve">Existe un mecanismo estandarizado para definir la ficha con la información que caracteriza cada proyecto a ser gestionado. </v>
      </c>
      <c r="D14" s="309" t="str">
        <f>VLOOKUP(A14,'3.1.Atributos MGPTI'!$A$6:$D$43,4,0)</f>
        <v>Contexto estratégico</v>
      </c>
      <c r="E14" s="297">
        <v>5</v>
      </c>
      <c r="F14" s="306"/>
      <c r="G14" s="305"/>
    </row>
    <row r="15" spans="1:7" ht="99.95" customHeight="1" x14ac:dyDescent="0.2">
      <c r="A15" s="308">
        <v>10</v>
      </c>
      <c r="B15" s="309" t="str">
        <f>VLOOKUP(A15,'3.1.Atributos MGPTI'!$A$6:$D$43,2,0)</f>
        <v>Identificación de interesados</v>
      </c>
      <c r="C15" s="309" t="str">
        <f>VLOOKUP(A15,'3.1.Atributos MGPTI'!$A$6:$D$43,3,0)</f>
        <v>Existe y se implementa un procedimiento para gestionar los interesados del proyecto mediante el cual se identifican los interesados clave del proyecto y se caracterizan de acuerdo con sus necesidades, intereses, poder.</v>
      </c>
      <c r="D15" s="309" t="str">
        <f>VLOOKUP(A15,'3.1.Atributos MGPTI'!$A$6:$D$43,4,0)</f>
        <v>Contexto estratégico</v>
      </c>
      <c r="E15" s="297">
        <v>5</v>
      </c>
      <c r="F15" s="306"/>
      <c r="G15" s="305"/>
    </row>
    <row r="16" spans="1:7" ht="102" x14ac:dyDescent="0.2">
      <c r="A16" s="308">
        <v>11</v>
      </c>
      <c r="B16" s="309" t="str">
        <f>VLOOKUP(A16,'3.1.Atributos MGPTI'!$A$6:$D$43,2,0)</f>
        <v>Selección de metodologías</v>
      </c>
      <c r="C16" s="309" t="str">
        <f>VLOOKUP(A16,'3.1.Atributos MGPTI'!$A$6:$D$43,3,0)</f>
        <v>Existe y se implementa un mecanismo o procedimiento que facilite la selección de la metodología a utilizar para gestionar cada proyecto de TI de acuerdo con las características del mismo y los lineamientos institucionales asociados. Se han definido plantillas según las opciones de metodologías disponibles.</v>
      </c>
      <c r="D16" s="309" t="str">
        <f>VLOOKUP(A16,'3.1.Atributos MGPTI'!$A$6:$D$43,4,0)</f>
        <v>Contexto estratégico</v>
      </c>
      <c r="E16" s="297">
        <v>5</v>
      </c>
      <c r="F16" s="306"/>
      <c r="G16" s="305"/>
    </row>
    <row r="17" spans="1:7" ht="99.95" customHeight="1" x14ac:dyDescent="0.2">
      <c r="A17" s="308">
        <v>12</v>
      </c>
      <c r="B17" s="309" t="str">
        <f>VLOOKUP(A17,'3.1.Atributos MGPTI'!$A$6:$D$43,2,0)</f>
        <v>Plan de gestión del proyecto de TI</v>
      </c>
      <c r="C17" s="309" t="str">
        <f>VLOOKUP(A17,'3.1.Atributos MGPTI'!$A$6:$D$43,3,0)</f>
        <v>Existe y se implementa un mecanismo o procedimiento para definir, mediante un plan de gestión de proyecto de TI, cómo se hará la ejecución, monitoreo y control del proyecto de acuerdo con la metodología de gestión de proyectos que se utilice.</v>
      </c>
      <c r="D17" s="309" t="str">
        <f>VLOOKUP(A17,'3.1.Atributos MGPTI'!$A$6:$D$43,4,0)</f>
        <v>Planeación</v>
      </c>
      <c r="E17" s="297">
        <v>5</v>
      </c>
      <c r="F17" s="306"/>
      <c r="G17" s="305"/>
    </row>
    <row r="18" spans="1:7" ht="140.25" x14ac:dyDescent="0.2">
      <c r="A18" s="308">
        <v>13</v>
      </c>
      <c r="B18" s="309" t="str">
        <f>VLOOKUP(A18,'3.1.Atributos MGPTI'!$A$6:$D$43,2,0)</f>
        <v>Planeación del alcance</v>
      </c>
      <c r="C18" s="309" t="str">
        <f>VLOOKUP(A18,'3.1.Atributos MGPTI'!$A$6:$D$43,3,0)</f>
        <v>Existe y se implementa un procedimiento para gestionar el alcance del proyecto mediante el cual  se realiza la planeación y definición del alcance del proyecto contemplando los siguientes aspectos: la definición de requerimientos (Objetivos generales y específicos), identificación de las partes interesadas, la declaración del alcance (entregables, criterios de aceptación, etc), y  cómo se estructura su desarrollo (etapas y componentes).</v>
      </c>
      <c r="D18" s="309" t="str">
        <f>VLOOKUP(A18,'3.1.Atributos MGPTI'!$A$6:$D$43,4,0)</f>
        <v>Planeación</v>
      </c>
      <c r="E18" s="297">
        <v>5</v>
      </c>
      <c r="F18" s="306"/>
      <c r="G18" s="305"/>
    </row>
    <row r="19" spans="1:7" ht="102" x14ac:dyDescent="0.2">
      <c r="A19" s="308">
        <v>14</v>
      </c>
      <c r="B19" s="309" t="str">
        <f>VLOOKUP(A19,'3.1.Atributos MGPTI'!$A$6:$D$43,2,0)</f>
        <v>Definición del cronograma</v>
      </c>
      <c r="C19" s="309" t="str">
        <f>VLOOKUP(A19,'3.1.Atributos MGPTI'!$A$6:$D$43,3,0)</f>
        <v xml:space="preserve">Existe y se implementa un procedimiento para gestionar el cronograma del proyecto de acuerdo con la metodología de gestión de proyectos seleccionada, mediante el cual se realiza la definición del conograma del proyecto contemplando: la definición de actividades, secuencia, iteraciones, estimación y asignación de recursos, duración, programación y métricas. </v>
      </c>
      <c r="D19" s="309" t="str">
        <f>VLOOKUP(A19,'3.1.Atributos MGPTI'!$A$6:$D$43,4,0)</f>
        <v>Planeación</v>
      </c>
      <c r="E19" s="297">
        <v>5</v>
      </c>
      <c r="F19" s="306"/>
      <c r="G19" s="305"/>
    </row>
    <row r="20" spans="1:7" ht="89.25" x14ac:dyDescent="0.2">
      <c r="A20" s="308">
        <v>15</v>
      </c>
      <c r="B20" s="309" t="str">
        <f>VLOOKUP(A20,'3.1.Atributos MGPTI'!$A$6:$D$43,2,0)</f>
        <v>Costos y presupuesto</v>
      </c>
      <c r="C20" s="309" t="str">
        <f>VLOOKUP(A20,'3.1.Atributos MGPTI'!$A$6:$D$43,3,0)</f>
        <v xml:space="preserve">Existe y se implementa un procedimiento para gestionar los costos del proyecto, mediante el cual  se realiza la estimación de los costos detallados necesarios para desarrollar el alcance y según lo establecido en el cronograma, y se determina el presupuesto total del proyecto. </v>
      </c>
      <c r="D20" s="309" t="str">
        <f>VLOOKUP(A20,'3.1.Atributos MGPTI'!$A$6:$D$43,4,0)</f>
        <v>Planeación</v>
      </c>
      <c r="E20" s="297">
        <v>5</v>
      </c>
      <c r="F20" s="306"/>
      <c r="G20" s="305"/>
    </row>
    <row r="21" spans="1:7" ht="99.95" customHeight="1" x14ac:dyDescent="0.2">
      <c r="A21" s="308">
        <v>16</v>
      </c>
      <c r="B21" s="309" t="str">
        <f>VLOOKUP(A21,'3.1.Atributos MGPTI'!$A$6:$D$43,2,0)</f>
        <v>Planificación de la calidad</v>
      </c>
      <c r="C21" s="309" t="str">
        <f>VLOOKUP(A21,'3.1.Atributos MGPTI'!$A$6:$D$43,3,0)</f>
        <v>Existe y se implementa un procedimiento para gestionar la calidad del proyecto, mediante el cual  se realiza la definición de los atributos de calidad, actividades y metricas para el control de calidad.</v>
      </c>
      <c r="D21" s="309" t="str">
        <f>VLOOKUP(A21,'3.1.Atributos MGPTI'!$A$6:$D$43,4,0)</f>
        <v>Planeación</v>
      </c>
      <c r="E21" s="297">
        <v>5</v>
      </c>
      <c r="F21" s="306"/>
      <c r="G21" s="305"/>
    </row>
    <row r="22" spans="1:7" ht="76.5" x14ac:dyDescent="0.2">
      <c r="A22" s="308">
        <v>17</v>
      </c>
      <c r="B22" s="309" t="str">
        <f>VLOOKUP(A22,'3.1.Atributos MGPTI'!$A$6:$D$43,2,0)</f>
        <v>Planeación del talento humano</v>
      </c>
      <c r="C22" s="309" t="str">
        <f>VLOOKUP(A22,'3.1.Atributos MGPTI'!$A$6:$D$43,3,0)</f>
        <v xml:space="preserve">Existe y se implementa un procedimiento para gestionar el talento humano del proyecto, mediante el cual se realiza la identificación de habilidades, asignación de roles y responsabilidades y la planeación de acciones de desarrollo de habilidades. </v>
      </c>
      <c r="D22" s="309" t="str">
        <f>VLOOKUP(A22,'3.1.Atributos MGPTI'!$A$6:$D$43,4,0)</f>
        <v>Planeación</v>
      </c>
      <c r="E22" s="297">
        <v>5</v>
      </c>
      <c r="F22" s="306"/>
      <c r="G22" s="305"/>
    </row>
    <row r="23" spans="1:7" ht="114.75" x14ac:dyDescent="0.2">
      <c r="A23" s="308">
        <v>18</v>
      </c>
      <c r="B23" s="309" t="str">
        <f>VLOOKUP(A23,'3.1.Atributos MGPTI'!$A$6:$D$43,2,0)</f>
        <v>Plan de comunicaciones</v>
      </c>
      <c r="C23" s="309" t="str">
        <f>VLOOKUP(A23,'3.1.Atributos MGPTI'!$A$6:$D$43,3,0)</f>
        <v xml:space="preserve">Existe y se implementa un procedimiento para gestionar las comunicaciones del proyecto, mediante el cual se define el plan comunicaciones del proyecto teniendo en cuenta entre otros, los siguientes aspectos: identificación de mensajes o información a entrar, el propósito, a quíen va dirigido (partes interesadas), con qué frecuencia y por qué canal. </v>
      </c>
      <c r="D23" s="309" t="str">
        <f>VLOOKUP(A23,'3.1.Atributos MGPTI'!$A$6:$D$43,4,0)</f>
        <v>Planeación</v>
      </c>
      <c r="E23" s="297">
        <v>5</v>
      </c>
      <c r="F23" s="306"/>
      <c r="G23" s="305"/>
    </row>
    <row r="24" spans="1:7" ht="99.95" customHeight="1" x14ac:dyDescent="0.2">
      <c r="A24" s="308">
        <v>19</v>
      </c>
      <c r="B24" s="309" t="str">
        <f>VLOOKUP(A24,'3.1.Atributos MGPTI'!$A$6:$D$43,2,0)</f>
        <v>Identificación y analisis de riesgos</v>
      </c>
      <c r="C24" s="309" t="str">
        <f>VLOOKUP(A24,'3.1.Atributos MGPTI'!$A$6:$D$43,3,0)</f>
        <v xml:space="preserve">Existe y se implementa un procedimiento para gestionar los riesgo del proyecto, mediante el cual se realiza la identificación (por tipo de riesgo) y  el analisis de riesgos (probabilidad de ocurrencia, impacto) que puedan afectar la ejecución del proyecto, y la definición de posibles acciones de mitigación (respuestas al riesgo). </v>
      </c>
      <c r="D24" s="309" t="str">
        <f>VLOOKUP(A24,'3.1.Atributos MGPTI'!$A$6:$D$43,4,0)</f>
        <v>Planeación</v>
      </c>
      <c r="E24" s="297">
        <v>5</v>
      </c>
      <c r="F24" s="306"/>
      <c r="G24" s="305"/>
    </row>
    <row r="25" spans="1:7" ht="102" x14ac:dyDescent="0.2">
      <c r="A25" s="308">
        <v>20</v>
      </c>
      <c r="B25" s="309" t="str">
        <f>VLOOKUP(A25,'3.1.Atributos MGPTI'!$A$6:$D$43,2,0)</f>
        <v>Planeación de adquisiciones</v>
      </c>
      <c r="C25" s="309" t="str">
        <f>VLOOKUP(A25,'3.1.Atributos MGPTI'!$A$6:$D$43,3,0)</f>
        <v xml:space="preserve">Existe y se implementa un procedimiento para gestionar las adquisiciones del proyecto que está articulado con los procesos de contratación de la entidad y mediante el cual se realiza la planeación de las compras de bienes y servicios requeridos para la ejecución del proyecto teniendo en cuenta la asignación presupuestal para el mismo. </v>
      </c>
      <c r="D25" s="309" t="str">
        <f>VLOOKUP(A25,'3.1.Atributos MGPTI'!$A$6:$D$43,4,0)</f>
        <v>Planeación</v>
      </c>
      <c r="E25" s="297">
        <v>5</v>
      </c>
      <c r="F25" s="306"/>
      <c r="G25" s="305"/>
    </row>
    <row r="26" spans="1:7" ht="99.95" customHeight="1" x14ac:dyDescent="0.2">
      <c r="A26" s="308">
        <v>21</v>
      </c>
      <c r="B26" s="309" t="str">
        <f>VLOOKUP(A26,'3.1.Atributos MGPTI'!$A$6:$D$43,2,0)</f>
        <v>Planeación de la gestión de interesados</v>
      </c>
      <c r="C26" s="309" t="str">
        <f>VLOOKUP(A26,'3.1.Atributos MGPTI'!$A$6:$D$43,3,0)</f>
        <v xml:space="preserve">Existe y se implementa un procedimiento para gestionar los interesados del proyecto mediante el cual se establecen las acciones para lograr la participación  y compromiso  de los interesados durante el desarrollo del proyecto. </v>
      </c>
      <c r="D26" s="309" t="str">
        <f>VLOOKUP(A26,'3.1.Atributos MGPTI'!$A$6:$D$43,4,0)</f>
        <v>Planeación</v>
      </c>
      <c r="E26" s="297">
        <v>5</v>
      </c>
      <c r="F26" s="306"/>
      <c r="G26" s="305"/>
    </row>
    <row r="27" spans="1:7" ht="99.95" customHeight="1" x14ac:dyDescent="0.2">
      <c r="A27" s="308">
        <v>22</v>
      </c>
      <c r="B27" s="309" t="str">
        <f>VLOOKUP(A27,'3.1.Atributos MGPTI'!$A$6:$D$43,2,0)</f>
        <v>Comunicaciones del proyecto</v>
      </c>
      <c r="C27" s="309" t="str">
        <f>VLOOKUP(A27,'3.1.Atributos MGPTI'!$A$6:$D$43,3,0)</f>
        <v xml:space="preserve">Existe y se implementa un procedimiento para gestionar las comunicaciones del proyecto, mediante el cual se ejecuta,hace seguimiento y actualización del plan de comunicaciones de proyecto. </v>
      </c>
      <c r="D27" s="309" t="str">
        <f>VLOOKUP(A27,'3.1.Atributos MGPTI'!$A$6:$D$43,4,0)</f>
        <v>Ejecución y control</v>
      </c>
      <c r="E27" s="297">
        <v>5</v>
      </c>
      <c r="F27" s="306"/>
      <c r="G27" s="305"/>
    </row>
    <row r="28" spans="1:7" ht="99.95" customHeight="1" x14ac:dyDescent="0.2">
      <c r="A28" s="308">
        <v>23</v>
      </c>
      <c r="B28" s="309" t="str">
        <f>VLOOKUP(A28,'3.1.Atributos MGPTI'!$A$6:$D$43,2,0)</f>
        <v>Involucramiento de interesados</v>
      </c>
      <c r="C28" s="309" t="str">
        <f>VLOOKUP(A28,'3.1.Atributos MGPTI'!$A$6:$D$43,3,0)</f>
        <v>Existe y se implementa un procedimiento para gestionar los interesados del proyecto mediante el cual se ejecutan y hace seguimiento a las acciones para lograr el involucramiento de los interesados en el proyecto. Este procedimiento debe estar articulado con la gestión de cambios del proyecto cuando desde los interesados se generan este tipo de solicitudes.</v>
      </c>
      <c r="D28" s="309" t="str">
        <f>VLOOKUP(A28,'3.1.Atributos MGPTI'!$A$6:$D$43,4,0)</f>
        <v>Ejecución y control</v>
      </c>
      <c r="E28" s="297">
        <v>5</v>
      </c>
      <c r="F28" s="306"/>
      <c r="G28" s="305"/>
    </row>
    <row r="29" spans="1:7" ht="99.95" customHeight="1" x14ac:dyDescent="0.2">
      <c r="A29" s="308">
        <v>24</v>
      </c>
      <c r="B29" s="309" t="str">
        <f>VLOOKUP(A29,'3.1.Atributos MGPTI'!$A$6:$D$43,2,0)</f>
        <v>Vinculación y seguimiento al desempeño del talento humano</v>
      </c>
      <c r="C29" s="309" t="str">
        <f>VLOOKUP(A29,'3.1.Atributos MGPTI'!$A$6:$D$43,3,0)</f>
        <v xml:space="preserve">Existe y se implementa un procedimiento para gestionar el talento humano del proyecto, mediante el cual se realizan las siguientes actividades:  vinculación,  dirección y seguimiento al desempeño del equipo humano asignado al proyecto,  identificación de necesidades de cambio o asignación de nuevos recursos humanos,  desarrollo de habilidades,  manejo de situaciones conflicto, entre otras; todo esto buscando el mejor rendimiento del proyecto. </v>
      </c>
      <c r="D29" s="309" t="str">
        <f>VLOOKUP(A29,'3.1.Atributos MGPTI'!$A$6:$D$43,4,0)</f>
        <v>Ejecución y control</v>
      </c>
      <c r="E29" s="297">
        <v>5</v>
      </c>
      <c r="F29" s="306"/>
      <c r="G29" s="305"/>
    </row>
    <row r="30" spans="1:7" ht="99.95" customHeight="1" x14ac:dyDescent="0.2">
      <c r="A30" s="308">
        <v>25</v>
      </c>
      <c r="B30" s="309" t="str">
        <f>VLOOKUP(A30,'3.1.Atributos MGPTI'!$A$6:$D$43,2,0)</f>
        <v>Seguimiento y control al alcance del proyecto</v>
      </c>
      <c r="C30" s="309" t="str">
        <f>VLOOKUP(A30,'3.1.Atributos MGPTI'!$A$6:$D$43,3,0)</f>
        <v>Existe y se implementa un procedimiento para gestionar el alcance del proyecto mediante el cual  se realiza el seguimiento y control al desarrollo de las actividades y entregables contempladas en el alcance del proyecto.</v>
      </c>
      <c r="D30" s="309" t="str">
        <f>VLOOKUP(A30,'3.1.Atributos MGPTI'!$A$6:$D$43,4,0)</f>
        <v>Ejecución y control</v>
      </c>
      <c r="E30" s="297">
        <v>5</v>
      </c>
      <c r="F30" s="306"/>
      <c r="G30" s="305"/>
    </row>
    <row r="31" spans="1:7" ht="99.95" customHeight="1" x14ac:dyDescent="0.2">
      <c r="A31" s="308">
        <v>26</v>
      </c>
      <c r="B31" s="309" t="str">
        <f>VLOOKUP(A31,'3.1.Atributos MGPTI'!$A$6:$D$43,2,0)</f>
        <v>Seguimiento al desempeño del proyecto</v>
      </c>
      <c r="C31" s="309" t="str">
        <f>VLOOKUP(A31,'3.1.Atributos MGPTI'!$A$6:$D$43,3,0)</f>
        <v xml:space="preserve">Existe y se implementa un procedimiento para gestionar el cronograma del proyecto de acuerdo con la metodología de gestión de proyectos seleccionada, mediante el cual se realiza el seguimiento y control al desempeño en el desarrollo de las actividades de acuerdo con  los tiempos y recursos asignados. </v>
      </c>
      <c r="D31" s="309" t="str">
        <f>VLOOKUP(A31,'3.1.Atributos MGPTI'!$A$6:$D$43,4,0)</f>
        <v>Ejecución y control</v>
      </c>
      <c r="E31" s="297">
        <v>5</v>
      </c>
      <c r="F31" s="306"/>
      <c r="G31" s="305"/>
    </row>
    <row r="32" spans="1:7" ht="99.95" customHeight="1" x14ac:dyDescent="0.2">
      <c r="A32" s="308">
        <v>27</v>
      </c>
      <c r="B32" s="309" t="str">
        <f>VLOOKUP(A32,'3.1.Atributos MGPTI'!$A$6:$D$43,2,0)</f>
        <v>Aseguramiento y control de calidad</v>
      </c>
      <c r="C32" s="309" t="str">
        <f>VLOOKUP(A32,'3.1.Atributos MGPTI'!$A$6:$D$43,3,0)</f>
        <v>Existe y se implementa un procedimiento para gestionar la calidad del proyecto, mediante el cual  se realiza el control y aseguramiento de la calidad en función de los atributos de calidad y acciones definidas en el plan de calidad del proyecto</v>
      </c>
      <c r="D32" s="309" t="str">
        <f>VLOOKUP(A32,'3.1.Atributos MGPTI'!$A$6:$D$43,4,0)</f>
        <v>Ejecución y control</v>
      </c>
      <c r="E32" s="297">
        <v>5</v>
      </c>
      <c r="F32" s="306"/>
      <c r="G32" s="305"/>
    </row>
    <row r="33" spans="1:7" ht="99.95" customHeight="1" x14ac:dyDescent="0.2">
      <c r="A33" s="308">
        <v>28</v>
      </c>
      <c r="B33" s="309" t="str">
        <f>VLOOKUP(A33,'3.1.Atributos MGPTI'!$A$6:$D$43,2,0)</f>
        <v>Seguimiento financiero</v>
      </c>
      <c r="C33" s="309" t="str">
        <f>VLOOKUP(A33,'3.1.Atributos MGPTI'!$A$6:$D$43,3,0)</f>
        <v>Existe y se implementa un procedimiento para gestionar los costos del proyecto, mediante el cual  se realiza el seguimiento a la ejecucion financiera y control de costos del proyecto.</v>
      </c>
      <c r="D33" s="309" t="str">
        <f>VLOOKUP(A33,'3.1.Atributos MGPTI'!$A$6:$D$43,4,0)</f>
        <v>Ejecución y control</v>
      </c>
      <c r="E33" s="297">
        <v>5</v>
      </c>
      <c r="F33" s="306"/>
      <c r="G33" s="305"/>
    </row>
    <row r="34" spans="1:7" ht="99.95" customHeight="1" x14ac:dyDescent="0.2">
      <c r="A34" s="308">
        <v>29</v>
      </c>
      <c r="B34" s="309" t="str">
        <f>VLOOKUP(A34,'3.1.Atributos MGPTI'!$A$6:$D$43,2,0)</f>
        <v>Adquisición de bienes y servicios</v>
      </c>
      <c r="C34" s="309" t="str">
        <f>VLOOKUP(A34,'3.1.Atributos MGPTI'!$A$6:$D$43,3,0)</f>
        <v xml:space="preserve">Existe y se implementa un procedimiento para gestionar las adquisiciones del proyecto que está articulado con los procesos de contratación de la entidad y mediante el cual se realizan y se hace seguimiento a las compras de bienes y servicios requeridos y planeados  para la ejecución del proyecto. </v>
      </c>
      <c r="D34" s="309" t="str">
        <f>VLOOKUP(A34,'3.1.Atributos MGPTI'!$A$6:$D$43,4,0)</f>
        <v>Ejecución y control</v>
      </c>
      <c r="E34" s="297">
        <v>5</v>
      </c>
      <c r="F34" s="306"/>
      <c r="G34" s="305"/>
    </row>
    <row r="35" spans="1:7" ht="99.95" customHeight="1" x14ac:dyDescent="0.2">
      <c r="A35" s="308">
        <v>30</v>
      </c>
      <c r="B35" s="309" t="str">
        <f>VLOOKUP(A35,'3.1.Atributos MGPTI'!$A$6:$D$43,2,0)</f>
        <v>Monitoreo y control de riesgos</v>
      </c>
      <c r="C35" s="309" t="str">
        <f>VLOOKUP(A35,'3.1.Atributos MGPTI'!$A$6:$D$43,3,0)</f>
        <v xml:space="preserve">Existe y se implementa un procedimiento para gestionar los riesgo del proyecto, mediante el cual se realiza el monitoreo y control de riesgos  y se implementan  las respuestas establecidas en la fase de planeación </v>
      </c>
      <c r="D35" s="309" t="str">
        <f>VLOOKUP(A35,'3.1.Atributos MGPTI'!$A$6:$D$43,4,0)</f>
        <v>Ejecución y control</v>
      </c>
      <c r="E35" s="297">
        <v>5</v>
      </c>
      <c r="F35" s="306"/>
      <c r="G35" s="305"/>
    </row>
    <row r="36" spans="1:7" ht="99.95" customHeight="1" x14ac:dyDescent="0.2">
      <c r="A36" s="308">
        <v>31</v>
      </c>
      <c r="B36" s="309" t="str">
        <f>VLOOKUP(A36,'3.1.Atributos MGPTI'!$A$6:$D$43,2,0)</f>
        <v>Cambios del proyecto</v>
      </c>
      <c r="C36" s="309" t="str">
        <f>VLOOKUP(A36,'3.1.Atributos MGPTI'!$A$6:$D$43,3,0)</f>
        <v>Existe y se implementa un procedimiento para gestionar de manera integral los cambios del proyecto, mediante el cual se  gestionan las solicitudes de cambio, se realiza su clasificación, analisis de impacto, aprobación y plan de implementación.  Adicionalmente establece el órgano de gobierno del proyecto  o responsables de la aprobación de los cambios de acuerdo con su tipificación.</v>
      </c>
      <c r="D36" s="309" t="str">
        <f>VLOOKUP(A36,'3.1.Atributos MGPTI'!$A$6:$D$43,4,0)</f>
        <v>Ejecución y control</v>
      </c>
      <c r="E36" s="297">
        <v>5</v>
      </c>
      <c r="F36" s="306"/>
      <c r="G36" s="305"/>
    </row>
    <row r="37" spans="1:7" ht="99.95" customHeight="1" x14ac:dyDescent="0.2">
      <c r="A37" s="308">
        <v>32</v>
      </c>
      <c r="B37" s="309" t="str">
        <f>VLOOKUP(A37,'3.1.Atributos MGPTI'!$A$6:$D$43,2,0)</f>
        <v xml:space="preserve">Gestion del conocimiento </v>
      </c>
      <c r="C37" s="309" t="str">
        <f>VLOOKUP(A37,'3.1.Atributos MGPTI'!$A$6:$D$43,3,0)</f>
        <v>Existe y se implementa un procedimiento para la gestión del conocimiento del proyecto que establece las acciones para registrar información del proyecto y lecciones aprendidas que pueden ser útiles durante la ejecución del mismo o para ejecutar otros proyectos</v>
      </c>
      <c r="D37" s="309" t="str">
        <f>VLOOKUP(A37,'3.1.Atributos MGPTI'!$A$6:$D$43,4,0)</f>
        <v>Ejecución y control</v>
      </c>
      <c r="E37" s="297">
        <v>5</v>
      </c>
      <c r="F37" s="306"/>
      <c r="G37" s="305"/>
    </row>
    <row r="38" spans="1:7" ht="99.95" customHeight="1" x14ac:dyDescent="0.2">
      <c r="A38" s="308">
        <v>33</v>
      </c>
      <c r="B38" s="309" t="str">
        <f>VLOOKUP(A38,'3.1.Atributos MGPTI'!$A$6:$D$43,2,0)</f>
        <v>Aceptación formal de entregables</v>
      </c>
      <c r="C38" s="309" t="str">
        <f>VLOOKUP(A38,'3.1.Atributos MGPTI'!$A$6:$D$43,3,0)</f>
        <v>Existe y se implementa un procedimiento para gestionar el alcance del proyecto mediante el cual  se obtiene la aceptación formal de todos los entregables de acuerdo con los criterios de aceptación definidos en la planeación del proyecto.</v>
      </c>
      <c r="D38" s="309" t="str">
        <f>VLOOKUP(A38,'3.1.Atributos MGPTI'!$A$6:$D$43,4,0)</f>
        <v>Cierre y operación</v>
      </c>
      <c r="E38" s="297">
        <v>5</v>
      </c>
      <c r="F38" s="306"/>
      <c r="G38" s="305"/>
    </row>
    <row r="39" spans="1:7" ht="99.95" customHeight="1" x14ac:dyDescent="0.2">
      <c r="A39" s="308">
        <v>34</v>
      </c>
      <c r="B39" s="309" t="str">
        <f>VLOOKUP(A39,'3.1.Atributos MGPTI'!$A$6:$D$43,2,0)</f>
        <v>Cierre de adquisiciones</v>
      </c>
      <c r="C39" s="309" t="str">
        <f>VLOOKUP(A39,'3.1.Atributos MGPTI'!$A$6:$D$43,3,0)</f>
        <v xml:space="preserve">Existe y se implementa un procedimiento para gestionar las adquisiciones del proyecto que está articulado con los procesos de contratación de la entidad y mediante el cual se realizan las actiividades de cierre contractual de los bienes y servicios adquiridos para la ejecución del proyecto. El cierre incluye la evaluación del desempeño de los proveedores o contratistas que suministraron el bien o servicio. </v>
      </c>
      <c r="D39" s="309" t="str">
        <f>VLOOKUP(A39,'3.1.Atributos MGPTI'!$A$6:$D$43,4,0)</f>
        <v>Cierre y operación</v>
      </c>
      <c r="E39" s="297">
        <v>5</v>
      </c>
      <c r="F39" s="306"/>
      <c r="G39" s="305"/>
    </row>
    <row r="40" spans="1:7" ht="99.95" customHeight="1" x14ac:dyDescent="0.2">
      <c r="A40" s="308">
        <v>35</v>
      </c>
      <c r="B40" s="309" t="str">
        <f>VLOOKUP(A40,'3.1.Atributos MGPTI'!$A$6:$D$43,2,0)</f>
        <v>Cierre financiero</v>
      </c>
      <c r="C40" s="309" t="str">
        <f>VLOOKUP(A40,'3.1.Atributos MGPTI'!$A$6:$D$43,3,0)</f>
        <v>Existe y se implementa un procedimiento para gestionar los costos del proyecto, mediante el cual  se realizan las actividades para asegurar el cierre administrativo del proyecto:  cierre del plan de gestión de proyecto, consolidación y registro de las lecciones aprendidas y reporte final del proyecto</v>
      </c>
      <c r="D40" s="309" t="str">
        <f>VLOOKUP(A40,'3.1.Atributos MGPTI'!$A$6:$D$43,4,0)</f>
        <v>Cierre y operación</v>
      </c>
      <c r="E40" s="297">
        <v>5</v>
      </c>
      <c r="F40" s="306"/>
      <c r="G40" s="305"/>
    </row>
    <row r="41" spans="1:7" ht="99.95" customHeight="1" x14ac:dyDescent="0.2">
      <c r="A41" s="308">
        <v>36</v>
      </c>
      <c r="B41" s="309" t="str">
        <f>VLOOKUP(A41,'3.1.Atributos MGPTI'!$A$6:$D$43,2,0)</f>
        <v>Consolidación de lecciones aprendidas</v>
      </c>
      <c r="C41" s="309" t="str">
        <f>VLOOKUP(A41,'3.1.Atributos MGPTI'!$A$6:$D$43,3,0)</f>
        <v xml:space="preserve">Existe y se implementa un procedimiento para la gestión del conocimiento del proyecto a partir del cual se realizan las actividades de consolidación y cierre de lecciones aprendidas durante todo el proyecto o fase. </v>
      </c>
      <c r="D41" s="309" t="str">
        <f>VLOOKUP(A41,'3.1.Atributos MGPTI'!$A$6:$D$43,4,0)</f>
        <v>Cierre y operación</v>
      </c>
      <c r="E41" s="297">
        <v>5</v>
      </c>
      <c r="F41" s="306"/>
      <c r="G41" s="305"/>
    </row>
    <row r="42" spans="1:7" ht="99.95" customHeight="1" x14ac:dyDescent="0.2">
      <c r="A42" s="308">
        <v>37</v>
      </c>
      <c r="B42" s="309" t="str">
        <f>VLOOKUP(A42,'3.1.Atributos MGPTI'!$A$6:$D$43,2,0)</f>
        <v>Cierre administrativo del proyecto o fase</v>
      </c>
      <c r="C42" s="309" t="str">
        <f>VLOOKUP(A42,'3.1.Atributos MGPTI'!$A$6:$D$43,3,0)</f>
        <v xml:space="preserve">Existe y se implementa un procedimiento para gestionar el cierre administrativo del proyecto o fase, mediante el cual  se realizan las actividades para asegurar el cierre financiero sobre los compromisos adquiridos y reporte final de costos. </v>
      </c>
      <c r="D42" s="309" t="str">
        <f>VLOOKUP(A42,'3.1.Atributos MGPTI'!$A$6:$D$43,4,0)</f>
        <v>Cierre y operación</v>
      </c>
      <c r="E42" s="297">
        <v>5</v>
      </c>
      <c r="F42" s="306"/>
      <c r="G42" s="305"/>
    </row>
    <row r="43" spans="1:7" ht="99.95" customHeight="1" thickBot="1" x14ac:dyDescent="0.25">
      <c r="A43" s="308">
        <v>38</v>
      </c>
      <c r="B43" s="309" t="str">
        <f>VLOOKUP(A43,'3.1.Atributos MGPTI'!$A$6:$D$43,2,0)</f>
        <v>Evaluación de fines propuestos</v>
      </c>
      <c r="C43" s="309" t="str">
        <f>VLOOKUP(A43,'3.1.Atributos MGPTI'!$A$6:$D$43,3,0)</f>
        <v xml:space="preserve">Existe y se implementa un procedimiento o mecanismo para desarrollar, una vez los entregables y productos del proyecto pasan a la etapa de operación, la evaluación de los resultados del proyecto y medir el éxito en términos del impacto y los beneficios que se obtienen, y si estos corresponden a lo planeado en el alcance del proyecto desarrollado. </v>
      </c>
      <c r="D43" s="309" t="str">
        <f>VLOOKUP(A43,'3.1.Atributos MGPTI'!$A$6:$D$43,4,0)</f>
        <v>Cierre y operación</v>
      </c>
      <c r="E43" s="297">
        <v>5</v>
      </c>
      <c r="F43" s="334"/>
      <c r="G43" s="305"/>
    </row>
  </sheetData>
  <sheetProtection algorithmName="SHA-512" hashValue="BbCdQM9VJFTy8ndLZb6YWFg5gM9GP0gP+64nxN1st7O1O2M/fNGyJb1khu4caukujqI/5LccpmtKlygdRlx3aA==" saltValue="Yd9ia1EzGI2X/rO2Mtf50w==" spinCount="100000" autoFilter="0" pivotTables="0"/>
  <autoFilter ref="A5:G43" xr:uid="{F5DE28E7-810D-6845-8343-81A40065AB6A}"/>
  <mergeCells count="2">
    <mergeCell ref="A2:G2"/>
    <mergeCell ref="F4:G4"/>
  </mergeCells>
  <dataValidations count="1">
    <dataValidation type="list" allowBlank="1" showInputMessage="1" showErrorMessage="1" sqref="E6:E43" xr:uid="{9706B111-1DDD-6740-9C40-BE22EE7DFA4F}">
      <formula1>"1,2,3,4,5"</formula1>
    </dataValidation>
  </dataValidations>
  <hyperlinks>
    <hyperlink ref="A1" location="Inicio!A1" display="Inicio" xr:uid="{80448824-460D-D14F-A73F-2A97C85E0171}"/>
  </hyperlinks>
  <pageMargins left="0.7" right="0.7" top="0.75" bottom="0.75" header="0.3" footer="0.3"/>
  <pageSetup orientation="portrait" horizontalDpi="0" verticalDpi="0"/>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05634-1C22-5345-BB71-AE46F9DA6D92}">
  <sheetPr codeName="Hoja2"/>
  <dimension ref="A1:G212"/>
  <sheetViews>
    <sheetView showGridLines="0" topLeftCell="A205" zoomScale="87" zoomScaleNormal="97" zoomScaleSheetLayoutView="203" workbookViewId="0"/>
  </sheetViews>
  <sheetFormatPr baseColWidth="10" defaultColWidth="11" defaultRowHeight="15.75" x14ac:dyDescent="0.25"/>
  <cols>
    <col min="1" max="1" width="10.875" customWidth="1"/>
    <col min="2" max="8" width="35.875" customWidth="1"/>
  </cols>
  <sheetData>
    <row r="1" spans="1:1" x14ac:dyDescent="0.25">
      <c r="A1" s="273" t="s">
        <v>52</v>
      </c>
    </row>
    <row r="68" spans="2:6" ht="15.95" customHeight="1" x14ac:dyDescent="0.25">
      <c r="B68" s="355" t="s">
        <v>53</v>
      </c>
      <c r="C68" s="355"/>
      <c r="D68" s="355"/>
      <c r="E68" s="355"/>
      <c r="F68" s="355"/>
    </row>
    <row r="69" spans="2:6" ht="15.95" customHeight="1" x14ac:dyDescent="0.25">
      <c r="B69" s="355"/>
      <c r="C69" s="355"/>
      <c r="D69" s="355"/>
      <c r="E69" s="355"/>
      <c r="F69" s="355"/>
    </row>
    <row r="70" spans="2:6" ht="15.95" customHeight="1" x14ac:dyDescent="0.25">
      <c r="B70" s="355"/>
      <c r="C70" s="355"/>
      <c r="D70" s="355"/>
      <c r="E70" s="355"/>
      <c r="F70" s="355"/>
    </row>
    <row r="71" spans="2:6" ht="15.95" customHeight="1" x14ac:dyDescent="0.25">
      <c r="B71" s="355"/>
      <c r="C71" s="355"/>
      <c r="D71" s="355"/>
      <c r="E71" s="355"/>
      <c r="F71" s="355"/>
    </row>
    <row r="72" spans="2:6" ht="15.95" customHeight="1" x14ac:dyDescent="0.25">
      <c r="B72" s="355"/>
      <c r="C72" s="355"/>
      <c r="D72" s="355"/>
      <c r="E72" s="355"/>
      <c r="F72" s="355"/>
    </row>
    <row r="73" spans="2:6" ht="15.95" customHeight="1" x14ac:dyDescent="0.25">
      <c r="B73" s="355"/>
      <c r="C73" s="355"/>
      <c r="D73" s="355"/>
      <c r="E73" s="355"/>
      <c r="F73" s="355"/>
    </row>
    <row r="74" spans="2:6" ht="18.95" customHeight="1" x14ac:dyDescent="0.25">
      <c r="B74" s="355"/>
      <c r="C74" s="355"/>
      <c r="D74" s="355"/>
      <c r="E74" s="355"/>
      <c r="F74" s="355"/>
    </row>
    <row r="75" spans="2:6" ht="18.95" customHeight="1" x14ac:dyDescent="0.25">
      <c r="B75" s="355"/>
      <c r="C75" s="355"/>
      <c r="D75" s="355"/>
      <c r="E75" s="355"/>
      <c r="F75" s="355"/>
    </row>
    <row r="76" spans="2:6" ht="18.95" customHeight="1" x14ac:dyDescent="0.25">
      <c r="B76" s="355"/>
      <c r="C76" s="355"/>
      <c r="D76" s="355"/>
      <c r="E76" s="355"/>
      <c r="F76" s="355"/>
    </row>
    <row r="77" spans="2:6" ht="18.95" customHeight="1" x14ac:dyDescent="0.25">
      <c r="B77" s="355"/>
      <c r="C77" s="355"/>
      <c r="D77" s="355"/>
      <c r="E77" s="355"/>
      <c r="F77" s="355"/>
    </row>
    <row r="78" spans="2:6" ht="18.95" customHeight="1" x14ac:dyDescent="0.25">
      <c r="B78" s="355"/>
      <c r="C78" s="355"/>
      <c r="D78" s="355"/>
      <c r="E78" s="355"/>
      <c r="F78" s="355"/>
    </row>
    <row r="79" spans="2:6" ht="18.95" customHeight="1" x14ac:dyDescent="0.25">
      <c r="B79" s="355"/>
      <c r="C79" s="355"/>
      <c r="D79" s="355"/>
      <c r="E79" s="355"/>
      <c r="F79" s="355"/>
    </row>
    <row r="80" spans="2:6" ht="16.5" thickBot="1" x14ac:dyDescent="0.3">
      <c r="B80" s="1"/>
      <c r="F80" s="340" t="s">
        <v>54</v>
      </c>
    </row>
    <row r="81" spans="2:6" ht="27.95" customHeight="1" thickBot="1" x14ac:dyDescent="0.3">
      <c r="B81" s="252" t="s">
        <v>55</v>
      </c>
      <c r="C81" s="353" t="s">
        <v>56</v>
      </c>
      <c r="D81" s="353"/>
      <c r="E81" s="353"/>
      <c r="F81" s="354"/>
    </row>
    <row r="82" spans="2:6" ht="37.5" x14ac:dyDescent="0.25">
      <c r="B82" s="249" t="s">
        <v>57</v>
      </c>
      <c r="C82" s="240" t="s">
        <v>58</v>
      </c>
      <c r="D82" s="236" t="s">
        <v>59</v>
      </c>
      <c r="E82" s="236" t="s">
        <v>60</v>
      </c>
      <c r="F82" s="237" t="s">
        <v>61</v>
      </c>
    </row>
    <row r="83" spans="2:6" ht="94.5" x14ac:dyDescent="0.25">
      <c r="B83" s="234" t="s">
        <v>62</v>
      </c>
      <c r="C83" s="247" t="s">
        <v>63</v>
      </c>
      <c r="D83" s="233" t="s">
        <v>64</v>
      </c>
      <c r="E83" s="233" t="s">
        <v>65</v>
      </c>
      <c r="F83" s="248" t="s">
        <v>66</v>
      </c>
    </row>
    <row r="84" spans="2:6" ht="48" customHeight="1" x14ac:dyDescent="0.25">
      <c r="B84" s="238" t="s">
        <v>67</v>
      </c>
      <c r="C84" s="241" t="s">
        <v>68</v>
      </c>
      <c r="D84" s="235" t="s">
        <v>69</v>
      </c>
      <c r="E84" s="235" t="s">
        <v>70</v>
      </c>
      <c r="F84" s="242" t="s">
        <v>71</v>
      </c>
    </row>
    <row r="85" spans="2:6" ht="78.75" x14ac:dyDescent="0.25">
      <c r="B85" s="234" t="s">
        <v>72</v>
      </c>
      <c r="C85" s="247" t="s">
        <v>73</v>
      </c>
      <c r="D85" s="233" t="s">
        <v>74</v>
      </c>
      <c r="E85" s="233" t="s">
        <v>75</v>
      </c>
      <c r="F85" s="248" t="s">
        <v>76</v>
      </c>
    </row>
    <row r="86" spans="2:6" ht="35.1" customHeight="1" x14ac:dyDescent="0.25">
      <c r="B86" s="238" t="s">
        <v>77</v>
      </c>
      <c r="C86" s="241" t="s">
        <v>78</v>
      </c>
      <c r="D86" s="235" t="s">
        <v>70</v>
      </c>
      <c r="E86" s="235" t="s">
        <v>79</v>
      </c>
      <c r="F86" s="242"/>
    </row>
    <row r="87" spans="2:6" ht="273.95" customHeight="1" x14ac:dyDescent="0.25">
      <c r="B87" s="234" t="s">
        <v>80</v>
      </c>
      <c r="C87" s="247" t="s">
        <v>81</v>
      </c>
      <c r="D87" s="233" t="s">
        <v>82</v>
      </c>
      <c r="E87" s="233" t="s">
        <v>83</v>
      </c>
      <c r="F87" s="243"/>
    </row>
    <row r="88" spans="2:6" ht="32.1" customHeight="1" x14ac:dyDescent="0.25">
      <c r="B88" s="238" t="s">
        <v>84</v>
      </c>
      <c r="C88" s="241" t="s">
        <v>85</v>
      </c>
      <c r="D88" s="235" t="s">
        <v>86</v>
      </c>
      <c r="E88" s="235" t="s">
        <v>87</v>
      </c>
      <c r="F88" s="242" t="s">
        <v>88</v>
      </c>
    </row>
    <row r="89" spans="2:6" ht="125.1" customHeight="1" thickBot="1" x14ac:dyDescent="0.3">
      <c r="B89" s="239" t="s">
        <v>89</v>
      </c>
      <c r="C89" s="244" t="s">
        <v>90</v>
      </c>
      <c r="D89" s="245" t="s">
        <v>91</v>
      </c>
      <c r="E89" s="245" t="s">
        <v>92</v>
      </c>
      <c r="F89" s="246" t="s">
        <v>93</v>
      </c>
    </row>
    <row r="130" spans="2:7" ht="15.95" customHeight="1" x14ac:dyDescent="0.25">
      <c r="B130" s="356" t="s">
        <v>94</v>
      </c>
      <c r="C130" s="356"/>
      <c r="D130" s="356"/>
      <c r="E130" s="356"/>
      <c r="F130" s="356"/>
      <c r="G130" s="356"/>
    </row>
    <row r="131" spans="2:7" ht="15.95" customHeight="1" x14ac:dyDescent="0.25">
      <c r="B131" s="356"/>
      <c r="C131" s="356"/>
      <c r="D131" s="356"/>
      <c r="E131" s="356"/>
      <c r="F131" s="356"/>
      <c r="G131" s="356"/>
    </row>
    <row r="132" spans="2:7" ht="15.95" customHeight="1" x14ac:dyDescent="0.25">
      <c r="B132" s="356"/>
      <c r="C132" s="356"/>
      <c r="D132" s="356"/>
      <c r="E132" s="356"/>
      <c r="F132" s="356"/>
      <c r="G132" s="356"/>
    </row>
    <row r="133" spans="2:7" ht="15.95" customHeight="1" x14ac:dyDescent="0.25">
      <c r="B133" s="356"/>
      <c r="C133" s="356"/>
      <c r="D133" s="356"/>
      <c r="E133" s="356"/>
      <c r="F133" s="356"/>
      <c r="G133" s="356"/>
    </row>
    <row r="134" spans="2:7" ht="15.95" customHeight="1" x14ac:dyDescent="0.25">
      <c r="B134" s="356"/>
      <c r="C134" s="356"/>
      <c r="D134" s="356"/>
      <c r="E134" s="356"/>
      <c r="F134" s="356"/>
      <c r="G134" s="356"/>
    </row>
    <row r="135" spans="2:7" ht="15.95" customHeight="1" x14ac:dyDescent="0.25">
      <c r="B135" s="356"/>
      <c r="C135" s="356"/>
      <c r="D135" s="356"/>
      <c r="E135" s="356"/>
      <c r="F135" s="356"/>
      <c r="G135" s="356"/>
    </row>
    <row r="136" spans="2:7" ht="18.95" customHeight="1" x14ac:dyDescent="0.25">
      <c r="B136" s="356"/>
      <c r="C136" s="356"/>
      <c r="D136" s="356"/>
      <c r="E136" s="356"/>
      <c r="F136" s="356"/>
      <c r="G136" s="356"/>
    </row>
    <row r="137" spans="2:7" ht="18.95" customHeight="1" x14ac:dyDescent="0.25">
      <c r="B137" s="356"/>
      <c r="C137" s="356"/>
      <c r="D137" s="356"/>
      <c r="E137" s="356"/>
      <c r="F137" s="356"/>
      <c r="G137" s="356"/>
    </row>
    <row r="138" spans="2:7" ht="18.95" customHeight="1" x14ac:dyDescent="0.25">
      <c r="B138" s="356"/>
      <c r="C138" s="356"/>
      <c r="D138" s="356"/>
      <c r="E138" s="356"/>
      <c r="F138" s="356"/>
      <c r="G138" s="356"/>
    </row>
    <row r="139" spans="2:7" ht="18.95" customHeight="1" x14ac:dyDescent="0.25">
      <c r="B139" s="356"/>
      <c r="C139" s="356"/>
      <c r="D139" s="356"/>
      <c r="E139" s="356"/>
      <c r="F139" s="356"/>
      <c r="G139" s="356"/>
    </row>
    <row r="140" spans="2:7" ht="18.95" customHeight="1" x14ac:dyDescent="0.25">
      <c r="B140" s="356"/>
      <c r="C140" s="356"/>
      <c r="D140" s="356"/>
      <c r="E140" s="356"/>
      <c r="F140" s="356"/>
      <c r="G140" s="356"/>
    </row>
    <row r="141" spans="2:7" x14ac:dyDescent="0.25">
      <c r="B141" s="356"/>
      <c r="C141" s="356"/>
      <c r="D141" s="356"/>
      <c r="E141" s="356"/>
      <c r="F141" s="356"/>
      <c r="G141" s="356"/>
    </row>
    <row r="142" spans="2:7" ht="16.5" thickBot="1" x14ac:dyDescent="0.3">
      <c r="G142" s="340" t="s">
        <v>54</v>
      </c>
    </row>
    <row r="143" spans="2:7" ht="21.75" thickBot="1" x14ac:dyDescent="0.3">
      <c r="B143" s="252" t="s">
        <v>55</v>
      </c>
      <c r="C143" s="357" t="s">
        <v>56</v>
      </c>
      <c r="D143" s="357"/>
      <c r="E143" s="357"/>
      <c r="F143" s="357"/>
      <c r="G143" s="358"/>
    </row>
    <row r="144" spans="2:7" ht="39.950000000000003" customHeight="1" x14ac:dyDescent="0.25">
      <c r="B144" s="260" t="s">
        <v>95</v>
      </c>
      <c r="C144" s="253" t="s">
        <v>96</v>
      </c>
      <c r="D144" s="254" t="s">
        <v>97</v>
      </c>
      <c r="E144" s="254" t="s">
        <v>98</v>
      </c>
      <c r="F144" s="254" t="s">
        <v>99</v>
      </c>
      <c r="G144" s="255" t="s">
        <v>100</v>
      </c>
    </row>
    <row r="145" spans="2:7" ht="126" x14ac:dyDescent="0.25">
      <c r="B145" s="261" t="s">
        <v>101</v>
      </c>
      <c r="C145" s="247" t="s">
        <v>102</v>
      </c>
      <c r="D145" s="233" t="s">
        <v>103</v>
      </c>
      <c r="E145" s="233" t="s">
        <v>104</v>
      </c>
      <c r="F145" s="233" t="s">
        <v>105</v>
      </c>
      <c r="G145" s="248" t="s">
        <v>106</v>
      </c>
    </row>
    <row r="146" spans="2:7" ht="39.950000000000003" customHeight="1" x14ac:dyDescent="0.25">
      <c r="B146" s="262" t="s">
        <v>107</v>
      </c>
      <c r="C146" s="241" t="s">
        <v>108</v>
      </c>
      <c r="D146" s="235" t="s">
        <v>109</v>
      </c>
      <c r="E146" s="235" t="s">
        <v>110</v>
      </c>
      <c r="F146" s="235" t="s">
        <v>111</v>
      </c>
      <c r="G146" s="242" t="s">
        <v>112</v>
      </c>
    </row>
    <row r="147" spans="2:7" ht="110.25" x14ac:dyDescent="0.25">
      <c r="B147" s="261" t="s">
        <v>113</v>
      </c>
      <c r="C147" s="247" t="s">
        <v>114</v>
      </c>
      <c r="D147" s="233" t="s">
        <v>115</v>
      </c>
      <c r="E147" s="233" t="s">
        <v>116</v>
      </c>
      <c r="F147" s="233" t="s">
        <v>117</v>
      </c>
      <c r="G147" s="248" t="s">
        <v>118</v>
      </c>
    </row>
    <row r="148" spans="2:7" ht="39.950000000000003" customHeight="1" x14ac:dyDescent="0.25">
      <c r="B148" s="262" t="s">
        <v>119</v>
      </c>
      <c r="C148" s="241" t="s">
        <v>120</v>
      </c>
      <c r="D148" s="235" t="s">
        <v>121</v>
      </c>
      <c r="E148" s="235" t="s">
        <v>122</v>
      </c>
      <c r="F148" s="235" t="s">
        <v>123</v>
      </c>
      <c r="G148" s="242"/>
    </row>
    <row r="149" spans="2:7" ht="78.75" x14ac:dyDescent="0.25">
      <c r="B149" s="261" t="s">
        <v>124</v>
      </c>
      <c r="C149" s="247" t="s">
        <v>125</v>
      </c>
      <c r="D149" s="233" t="s">
        <v>126</v>
      </c>
      <c r="E149" s="233" t="s">
        <v>127</v>
      </c>
      <c r="F149" s="233" t="s">
        <v>128</v>
      </c>
      <c r="G149" s="250"/>
    </row>
    <row r="150" spans="2:7" ht="39.950000000000003" customHeight="1" x14ac:dyDescent="0.25">
      <c r="B150" s="262" t="s">
        <v>129</v>
      </c>
      <c r="C150" s="241" t="s">
        <v>130</v>
      </c>
      <c r="D150" s="235" t="s">
        <v>131</v>
      </c>
      <c r="E150" s="235" t="s">
        <v>132</v>
      </c>
      <c r="F150" s="235" t="s">
        <v>122</v>
      </c>
      <c r="G150" s="242"/>
    </row>
    <row r="151" spans="2:7" ht="117.95" customHeight="1" x14ac:dyDescent="0.25">
      <c r="B151" s="261" t="s">
        <v>133</v>
      </c>
      <c r="C151" s="247" t="s">
        <v>134</v>
      </c>
      <c r="D151" s="233" t="s">
        <v>135</v>
      </c>
      <c r="E151" s="233" t="s">
        <v>136</v>
      </c>
      <c r="F151" s="233" t="s">
        <v>137</v>
      </c>
      <c r="G151" s="250"/>
    </row>
    <row r="152" spans="2:7" ht="39.950000000000003" customHeight="1" x14ac:dyDescent="0.25">
      <c r="B152" s="262" t="s">
        <v>138</v>
      </c>
      <c r="C152" s="241" t="s">
        <v>139</v>
      </c>
      <c r="D152" s="235" t="s">
        <v>140</v>
      </c>
      <c r="E152" s="235" t="s">
        <v>141</v>
      </c>
      <c r="F152" s="235" t="s">
        <v>142</v>
      </c>
      <c r="G152" s="242"/>
    </row>
    <row r="153" spans="2:7" ht="138.94999999999999" customHeight="1" x14ac:dyDescent="0.25">
      <c r="B153" s="261" t="s">
        <v>143</v>
      </c>
      <c r="C153" s="247" t="s">
        <v>144</v>
      </c>
      <c r="D153" s="233" t="s">
        <v>145</v>
      </c>
      <c r="E153" s="233" t="s">
        <v>146</v>
      </c>
      <c r="F153" s="233" t="s">
        <v>147</v>
      </c>
      <c r="G153" s="250"/>
    </row>
    <row r="154" spans="2:7" ht="39.950000000000003" customHeight="1" x14ac:dyDescent="0.25">
      <c r="B154" s="262" t="s">
        <v>148</v>
      </c>
      <c r="C154" s="241" t="s">
        <v>149</v>
      </c>
      <c r="D154" s="235" t="s">
        <v>150</v>
      </c>
      <c r="E154" s="235" t="s">
        <v>151</v>
      </c>
      <c r="F154" s="235"/>
      <c r="G154" s="242"/>
    </row>
    <row r="155" spans="2:7" ht="143.1" customHeight="1" thickBot="1" x14ac:dyDescent="0.3">
      <c r="B155" s="263" t="s">
        <v>152</v>
      </c>
      <c r="C155" s="256" t="s">
        <v>153</v>
      </c>
      <c r="D155" s="257" t="s">
        <v>154</v>
      </c>
      <c r="E155" s="257" t="s">
        <v>155</v>
      </c>
      <c r="F155" s="258"/>
      <c r="G155" s="259"/>
    </row>
    <row r="194" spans="2:7" ht="18.95" customHeight="1" x14ac:dyDescent="0.25">
      <c r="B194" s="355" t="s">
        <v>156</v>
      </c>
      <c r="C194" s="355"/>
      <c r="D194" s="355"/>
      <c r="E194" s="355"/>
      <c r="F194" s="355"/>
      <c r="G194" s="355"/>
    </row>
    <row r="195" spans="2:7" ht="15.95" customHeight="1" x14ac:dyDescent="0.25">
      <c r="B195" s="355"/>
      <c r="C195" s="355"/>
      <c r="D195" s="355"/>
      <c r="E195" s="355"/>
      <c r="F195" s="355"/>
      <c r="G195" s="355"/>
    </row>
    <row r="196" spans="2:7" ht="15.95" customHeight="1" x14ac:dyDescent="0.25">
      <c r="B196" s="355"/>
      <c r="C196" s="355"/>
      <c r="D196" s="355"/>
      <c r="E196" s="355"/>
      <c r="F196" s="355"/>
      <c r="G196" s="355"/>
    </row>
    <row r="197" spans="2:7" ht="24.95" customHeight="1" x14ac:dyDescent="0.25">
      <c r="B197" s="355"/>
      <c r="C197" s="355"/>
      <c r="D197" s="355"/>
      <c r="E197" s="355"/>
      <c r="F197" s="355"/>
      <c r="G197" s="355"/>
    </row>
    <row r="198" spans="2:7" ht="24.95" customHeight="1" x14ac:dyDescent="0.25">
      <c r="B198" s="355"/>
      <c r="C198" s="355"/>
      <c r="D198" s="355"/>
      <c r="E198" s="355"/>
      <c r="F198" s="355"/>
      <c r="G198" s="355"/>
    </row>
    <row r="199" spans="2:7" ht="24.95" customHeight="1" x14ac:dyDescent="0.25">
      <c r="B199" s="355"/>
      <c r="C199" s="355"/>
      <c r="D199" s="355"/>
      <c r="E199" s="355"/>
      <c r="F199" s="355"/>
      <c r="G199" s="355"/>
    </row>
    <row r="200" spans="2:7" ht="24.95" customHeight="1" x14ac:dyDescent="0.25">
      <c r="B200" s="355"/>
      <c r="C200" s="355"/>
      <c r="D200" s="355"/>
      <c r="E200" s="355"/>
      <c r="F200" s="355"/>
      <c r="G200" s="355"/>
    </row>
    <row r="201" spans="2:7" ht="15.95" customHeight="1" x14ac:dyDescent="0.25">
      <c r="B201" s="355"/>
      <c r="C201" s="355"/>
      <c r="D201" s="355"/>
      <c r="E201" s="355"/>
      <c r="F201" s="355"/>
      <c r="G201" s="355"/>
    </row>
    <row r="202" spans="2:7" ht="18.95" customHeight="1" x14ac:dyDescent="0.25">
      <c r="B202" s="355"/>
      <c r="C202" s="355"/>
      <c r="D202" s="355"/>
      <c r="E202" s="355"/>
      <c r="F202" s="355"/>
      <c r="G202" s="355"/>
    </row>
    <row r="203" spans="2:7" ht="17.100000000000001" customHeight="1" thickBot="1" x14ac:dyDescent="0.3">
      <c r="G203" s="341" t="s">
        <v>54</v>
      </c>
    </row>
    <row r="204" spans="2:7" ht="21.75" thickBot="1" x14ac:dyDescent="0.3">
      <c r="B204" s="252" t="s">
        <v>55</v>
      </c>
      <c r="C204" s="352" t="s">
        <v>56</v>
      </c>
      <c r="D204" s="353"/>
      <c r="E204" s="353"/>
      <c r="F204" s="353"/>
      <c r="G204" s="354"/>
    </row>
    <row r="205" spans="2:7" ht="37.5" x14ac:dyDescent="0.25">
      <c r="B205" s="260" t="s">
        <v>157</v>
      </c>
      <c r="C205" s="253" t="s">
        <v>158</v>
      </c>
      <c r="D205" s="254" t="s">
        <v>159</v>
      </c>
      <c r="E205" s="254" t="s">
        <v>160</v>
      </c>
      <c r="F205" s="254"/>
      <c r="G205" s="255"/>
    </row>
    <row r="206" spans="2:7" ht="126" x14ac:dyDescent="0.25">
      <c r="B206" s="261" t="s">
        <v>161</v>
      </c>
      <c r="C206" s="247" t="s">
        <v>162</v>
      </c>
      <c r="D206" s="247" t="s">
        <v>163</v>
      </c>
      <c r="E206" s="233" t="s">
        <v>164</v>
      </c>
      <c r="F206" s="251"/>
      <c r="G206" s="250"/>
    </row>
    <row r="207" spans="2:7" ht="37.5" x14ac:dyDescent="0.25">
      <c r="B207" s="262" t="s">
        <v>165</v>
      </c>
      <c r="C207" s="241" t="s">
        <v>166</v>
      </c>
      <c r="D207" s="235" t="s">
        <v>167</v>
      </c>
      <c r="E207" s="235" t="s">
        <v>168</v>
      </c>
      <c r="F207" s="235" t="s">
        <v>122</v>
      </c>
      <c r="G207" s="242" t="s">
        <v>169</v>
      </c>
    </row>
    <row r="208" spans="2:7" ht="110.25" x14ac:dyDescent="0.25">
      <c r="B208" s="261" t="s">
        <v>170</v>
      </c>
      <c r="C208" s="247" t="s">
        <v>171</v>
      </c>
      <c r="D208" s="233" t="s">
        <v>172</v>
      </c>
      <c r="E208" s="233" t="s">
        <v>173</v>
      </c>
      <c r="F208" s="233" t="s">
        <v>174</v>
      </c>
      <c r="G208" s="233" t="s">
        <v>175</v>
      </c>
    </row>
    <row r="209" spans="2:7" ht="37.5" x14ac:dyDescent="0.25">
      <c r="B209" s="262" t="s">
        <v>176</v>
      </c>
      <c r="C209" s="241" t="s">
        <v>166</v>
      </c>
      <c r="D209" s="235" t="s">
        <v>177</v>
      </c>
      <c r="E209" s="235" t="s">
        <v>168</v>
      </c>
      <c r="F209" s="235" t="s">
        <v>122</v>
      </c>
      <c r="G209" s="242" t="s">
        <v>169</v>
      </c>
    </row>
    <row r="210" spans="2:7" ht="141.75" x14ac:dyDescent="0.25">
      <c r="B210" s="261" t="s">
        <v>178</v>
      </c>
      <c r="C210" s="247" t="s">
        <v>179</v>
      </c>
      <c r="D210" s="233" t="s">
        <v>180</v>
      </c>
      <c r="E210" s="233" t="s">
        <v>181</v>
      </c>
      <c r="F210" s="233" t="s">
        <v>182</v>
      </c>
      <c r="G210" s="233" t="s">
        <v>183</v>
      </c>
    </row>
    <row r="211" spans="2:7" ht="48" customHeight="1" x14ac:dyDescent="0.25">
      <c r="B211" s="262" t="s">
        <v>184</v>
      </c>
      <c r="C211" s="241" t="s">
        <v>185</v>
      </c>
      <c r="D211" s="235" t="s">
        <v>168</v>
      </c>
      <c r="E211" s="235" t="s">
        <v>79</v>
      </c>
      <c r="F211" s="235"/>
      <c r="G211" s="242"/>
    </row>
    <row r="212" spans="2:7" ht="79.5" thickBot="1" x14ac:dyDescent="0.3">
      <c r="B212" s="261" t="s">
        <v>186</v>
      </c>
      <c r="C212" s="247" t="s">
        <v>187</v>
      </c>
      <c r="D212" s="247" t="s">
        <v>188</v>
      </c>
      <c r="E212" s="247" t="s">
        <v>189</v>
      </c>
      <c r="F212" s="258"/>
      <c r="G212" s="259"/>
    </row>
  </sheetData>
  <sheetProtection algorithmName="SHA-512" hashValue="3uhclt/ya+6MvTyZh/tWKCJlZcPv6I9bZoYOX5/3nvU4s8OackufoNA7EdRgidP4fJJxAeE7H6Aa273MVsl/tg==" saltValue="odGFZEb7QLwfyBeWSfUm3w==" spinCount="100000" autoFilter="0" pivotTables="0"/>
  <mergeCells count="6">
    <mergeCell ref="C204:G204"/>
    <mergeCell ref="B194:G202"/>
    <mergeCell ref="B68:F79"/>
    <mergeCell ref="B130:G141"/>
    <mergeCell ref="C81:F81"/>
    <mergeCell ref="C143:G143"/>
  </mergeCells>
  <hyperlinks>
    <hyperlink ref="A1" location="Inicio!A1" display="Inicio" xr:uid="{2AF18A7A-65F6-9A4B-9EB2-2E43C308132F}"/>
    <hyperlink ref="F80" location="'Instrucciones MAE'!A1" display="Link a las instrucciones" xr:uid="{665C8F45-E21E-0241-AAF2-D083047F8EE0}"/>
    <hyperlink ref="G142" location="'Instrucciones MGGTI'!A1" display="Link a las instrucciones" xr:uid="{C56CEC83-B3ED-CB47-B93A-927616567C18}"/>
    <hyperlink ref="G203" location="'Instrucciones MGPTI'!A1" display="Link a las instrucciones" xr:uid="{E4BF4A7F-105C-9B4B-917A-477A690D7F71}"/>
  </hyperlinks>
  <pageMargins left="0.7" right="0.7" top="0.75" bottom="0.75" header="0.3" footer="0.3"/>
  <pageSetup scale="39" orientation="portrait" horizontalDpi="0" verticalDpi="0"/>
  <colBreaks count="1" manualBreakCount="1">
    <brk id="6" max="114" man="1"/>
  </col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DEEB5-491E-B74B-B1B1-6C5D58A34617}">
  <sheetPr codeName="Hoja13"/>
  <dimension ref="B1:K154"/>
  <sheetViews>
    <sheetView showGridLines="0" view="pageBreakPreview" topLeftCell="A129" zoomScale="94" zoomScaleNormal="100" zoomScaleSheetLayoutView="94" workbookViewId="0"/>
  </sheetViews>
  <sheetFormatPr baseColWidth="10" defaultColWidth="10.875" defaultRowHeight="15" x14ac:dyDescent="0.2"/>
  <cols>
    <col min="1" max="1" width="10.875" style="289"/>
    <col min="2" max="2" width="10.875" style="289" customWidth="1"/>
    <col min="3" max="16384" width="10.875" style="289"/>
  </cols>
  <sheetData>
    <row r="1" spans="2:11" ht="15.75" x14ac:dyDescent="0.25">
      <c r="B1" s="273" t="s">
        <v>52</v>
      </c>
    </row>
    <row r="7" spans="2:11" ht="27.75" x14ac:dyDescent="0.4">
      <c r="B7" s="363" t="s">
        <v>696</v>
      </c>
      <c r="C7" s="363"/>
      <c r="D7" s="363"/>
      <c r="E7" s="363"/>
      <c r="F7" s="363"/>
      <c r="G7" s="363"/>
      <c r="H7" s="363"/>
      <c r="I7" s="363"/>
      <c r="J7" s="363"/>
      <c r="K7" s="363"/>
    </row>
    <row r="9" spans="2:11" s="290" customFormat="1" ht="15.95" customHeight="1" x14ac:dyDescent="0.25">
      <c r="B9" s="359" t="s">
        <v>697</v>
      </c>
      <c r="C9" s="359"/>
      <c r="D9" s="359"/>
      <c r="E9" s="359"/>
      <c r="F9" s="359"/>
      <c r="G9" s="359"/>
      <c r="H9" s="359"/>
      <c r="I9" s="359"/>
      <c r="J9" s="359"/>
      <c r="K9" s="359"/>
    </row>
    <row r="10" spans="2:11" s="290" customFormat="1" x14ac:dyDescent="0.25">
      <c r="B10" s="359"/>
      <c r="C10" s="359"/>
      <c r="D10" s="359"/>
      <c r="E10" s="359"/>
      <c r="F10" s="359"/>
      <c r="G10" s="359"/>
      <c r="H10" s="359"/>
      <c r="I10" s="359"/>
      <c r="J10" s="359"/>
      <c r="K10" s="359"/>
    </row>
    <row r="11" spans="2:11" s="290" customFormat="1" x14ac:dyDescent="0.25">
      <c r="B11" s="359"/>
      <c r="C11" s="359"/>
      <c r="D11" s="359"/>
      <c r="E11" s="359"/>
      <c r="F11" s="359"/>
      <c r="G11" s="359"/>
      <c r="H11" s="359"/>
      <c r="I11" s="359"/>
      <c r="J11" s="359"/>
      <c r="K11" s="359"/>
    </row>
    <row r="12" spans="2:11" s="290" customFormat="1" x14ac:dyDescent="0.25">
      <c r="B12" s="359"/>
      <c r="C12" s="359"/>
      <c r="D12" s="359"/>
      <c r="E12" s="359"/>
      <c r="F12" s="359"/>
      <c r="G12" s="359"/>
      <c r="H12" s="359"/>
      <c r="I12" s="359"/>
      <c r="J12" s="359"/>
      <c r="K12" s="359"/>
    </row>
    <row r="13" spans="2:11" s="290" customFormat="1" x14ac:dyDescent="0.25">
      <c r="B13" s="359"/>
      <c r="C13" s="359"/>
      <c r="D13" s="359"/>
      <c r="E13" s="359"/>
      <c r="F13" s="359"/>
      <c r="G13" s="359"/>
      <c r="H13" s="359"/>
      <c r="I13" s="359"/>
      <c r="J13" s="359"/>
      <c r="K13" s="359"/>
    </row>
    <row r="14" spans="2:11" s="290" customFormat="1" x14ac:dyDescent="0.25">
      <c r="B14" s="359"/>
      <c r="C14" s="359"/>
      <c r="D14" s="359"/>
      <c r="E14" s="359"/>
      <c r="F14" s="359"/>
      <c r="G14" s="359"/>
      <c r="H14" s="359"/>
      <c r="I14" s="359"/>
      <c r="J14" s="359"/>
      <c r="K14" s="359"/>
    </row>
    <row r="15" spans="2:11" s="290" customFormat="1" x14ac:dyDescent="0.25">
      <c r="B15" s="359"/>
      <c r="C15" s="359"/>
      <c r="D15" s="359"/>
      <c r="E15" s="359"/>
      <c r="F15" s="359"/>
      <c r="G15" s="359"/>
      <c r="H15" s="359"/>
      <c r="I15" s="359"/>
      <c r="J15" s="359"/>
      <c r="K15" s="359"/>
    </row>
    <row r="16" spans="2:11" s="290" customFormat="1" x14ac:dyDescent="0.25">
      <c r="B16" s="359"/>
      <c r="C16" s="359"/>
      <c r="D16" s="359"/>
      <c r="E16" s="359"/>
      <c r="F16" s="359"/>
      <c r="G16" s="359"/>
      <c r="H16" s="359"/>
      <c r="I16" s="359"/>
      <c r="J16" s="359"/>
      <c r="K16" s="359"/>
    </row>
    <row r="17" spans="2:11" s="290" customFormat="1" ht="30" customHeight="1" x14ac:dyDescent="0.25">
      <c r="B17" s="362" t="s">
        <v>698</v>
      </c>
      <c r="C17" s="362"/>
      <c r="D17" s="362"/>
      <c r="E17" s="362"/>
      <c r="F17" s="362"/>
      <c r="G17" s="362"/>
      <c r="H17" s="362"/>
      <c r="I17" s="362"/>
      <c r="J17" s="362"/>
      <c r="K17" s="362"/>
    </row>
    <row r="18" spans="2:11" s="290" customFormat="1" x14ac:dyDescent="0.25">
      <c r="B18" s="360" t="s">
        <v>699</v>
      </c>
      <c r="C18" s="360"/>
      <c r="D18" s="360"/>
      <c r="E18" s="360"/>
      <c r="F18" s="360"/>
      <c r="G18" s="360"/>
      <c r="H18" s="360"/>
      <c r="I18" s="360"/>
      <c r="J18" s="360"/>
      <c r="K18" s="360"/>
    </row>
    <row r="19" spans="2:11" s="290" customFormat="1" x14ac:dyDescent="0.25">
      <c r="B19" s="360"/>
      <c r="C19" s="360"/>
      <c r="D19" s="360"/>
      <c r="E19" s="360"/>
      <c r="F19" s="360"/>
      <c r="G19" s="360"/>
      <c r="H19" s="360"/>
      <c r="I19" s="360"/>
      <c r="J19" s="360"/>
      <c r="K19" s="360"/>
    </row>
    <row r="20" spans="2:11" s="290" customFormat="1" x14ac:dyDescent="0.25">
      <c r="B20" s="360"/>
      <c r="C20" s="360"/>
      <c r="D20" s="360"/>
      <c r="E20" s="360"/>
      <c r="F20" s="360"/>
      <c r="G20" s="360"/>
      <c r="H20" s="360"/>
      <c r="I20" s="360"/>
      <c r="J20" s="360"/>
      <c r="K20" s="360"/>
    </row>
    <row r="21" spans="2:11" s="290" customFormat="1" ht="20.25" x14ac:dyDescent="0.25">
      <c r="B21" s="291"/>
      <c r="C21" s="291"/>
      <c r="D21" s="291"/>
      <c r="E21" s="291"/>
      <c r="F21" s="291"/>
      <c r="G21" s="291"/>
      <c r="H21" s="291"/>
      <c r="I21" s="361" t="s">
        <v>700</v>
      </c>
      <c r="J21" s="361"/>
      <c r="K21" s="361"/>
    </row>
    <row r="22" spans="2:11" ht="15.95" customHeight="1" x14ac:dyDescent="0.2">
      <c r="B22" s="359" t="s">
        <v>701</v>
      </c>
      <c r="C22" s="359"/>
      <c r="D22" s="359"/>
      <c r="E22" s="359"/>
      <c r="F22" s="359"/>
      <c r="G22" s="359"/>
      <c r="H22" s="359"/>
      <c r="I22" s="359"/>
      <c r="J22" s="359"/>
      <c r="K22" s="359"/>
    </row>
    <row r="23" spans="2:11" x14ac:dyDescent="0.2">
      <c r="B23" s="359"/>
      <c r="C23" s="359"/>
      <c r="D23" s="359"/>
      <c r="E23" s="359"/>
      <c r="F23" s="359"/>
      <c r="G23" s="359"/>
      <c r="H23" s="359"/>
      <c r="I23" s="359"/>
      <c r="J23" s="359"/>
      <c r="K23" s="359"/>
    </row>
    <row r="24" spans="2:11" x14ac:dyDescent="0.2">
      <c r="B24" s="359"/>
      <c r="C24" s="359"/>
      <c r="D24" s="359"/>
      <c r="E24" s="359"/>
      <c r="F24" s="359"/>
      <c r="G24" s="359"/>
      <c r="H24" s="359"/>
      <c r="I24" s="359"/>
      <c r="J24" s="359"/>
      <c r="K24" s="359"/>
    </row>
    <row r="25" spans="2:11" x14ac:dyDescent="0.2">
      <c r="B25" s="359"/>
      <c r="C25" s="359"/>
      <c r="D25" s="359"/>
      <c r="E25" s="359"/>
      <c r="F25" s="359"/>
      <c r="G25" s="359"/>
      <c r="H25" s="359"/>
      <c r="I25" s="359"/>
      <c r="J25" s="359"/>
      <c r="K25" s="359"/>
    </row>
    <row r="26" spans="2:11" x14ac:dyDescent="0.2">
      <c r="B26" s="359"/>
      <c r="C26" s="359"/>
      <c r="D26" s="359"/>
      <c r="E26" s="359"/>
      <c r="F26" s="359"/>
      <c r="G26" s="359"/>
      <c r="H26" s="359"/>
      <c r="I26" s="359"/>
      <c r="J26" s="359"/>
      <c r="K26" s="359"/>
    </row>
    <row r="27" spans="2:11" x14ac:dyDescent="0.2">
      <c r="B27" s="359"/>
      <c r="C27" s="359"/>
      <c r="D27" s="359"/>
      <c r="E27" s="359"/>
      <c r="F27" s="359"/>
      <c r="G27" s="359"/>
      <c r="H27" s="359"/>
      <c r="I27" s="359"/>
      <c r="J27" s="359"/>
      <c r="K27" s="359"/>
    </row>
    <row r="28" spans="2:11" x14ac:dyDescent="0.2">
      <c r="B28" s="359"/>
      <c r="C28" s="359"/>
      <c r="D28" s="359"/>
      <c r="E28" s="359"/>
      <c r="F28" s="359"/>
      <c r="G28" s="359"/>
      <c r="H28" s="359"/>
      <c r="I28" s="359"/>
      <c r="J28" s="359"/>
      <c r="K28" s="359"/>
    </row>
    <row r="29" spans="2:11" x14ac:dyDescent="0.2">
      <c r="B29" s="359"/>
      <c r="C29" s="359"/>
      <c r="D29" s="359"/>
      <c r="E29" s="359"/>
      <c r="F29" s="359"/>
      <c r="G29" s="359"/>
      <c r="H29" s="359"/>
      <c r="I29" s="359"/>
      <c r="J29" s="359"/>
      <c r="K29" s="359"/>
    </row>
    <row r="30" spans="2:11" x14ac:dyDescent="0.2">
      <c r="B30" s="359"/>
      <c r="C30" s="359"/>
      <c r="D30" s="359"/>
      <c r="E30" s="359"/>
      <c r="F30" s="359"/>
      <c r="G30" s="359"/>
      <c r="H30" s="359"/>
      <c r="I30" s="359"/>
      <c r="J30" s="359"/>
      <c r="K30" s="359"/>
    </row>
    <row r="31" spans="2:11" x14ac:dyDescent="0.2">
      <c r="B31" s="359"/>
      <c r="C31" s="359"/>
      <c r="D31" s="359"/>
      <c r="E31" s="359"/>
      <c r="F31" s="359"/>
      <c r="G31" s="359"/>
      <c r="H31" s="359"/>
      <c r="I31" s="359"/>
      <c r="J31" s="359"/>
      <c r="K31" s="359"/>
    </row>
    <row r="32" spans="2:11" x14ac:dyDescent="0.2">
      <c r="B32" s="359"/>
      <c r="C32" s="359"/>
      <c r="D32" s="359"/>
      <c r="E32" s="359"/>
      <c r="F32" s="359"/>
      <c r="G32" s="359"/>
      <c r="H32" s="359"/>
      <c r="I32" s="359"/>
      <c r="J32" s="359"/>
      <c r="K32" s="359"/>
    </row>
    <row r="33" spans="2:11" x14ac:dyDescent="0.2">
      <c r="B33" s="359"/>
      <c r="C33" s="359"/>
      <c r="D33" s="359"/>
      <c r="E33" s="359"/>
      <c r="F33" s="359"/>
      <c r="G33" s="359"/>
      <c r="H33" s="359"/>
      <c r="I33" s="359"/>
      <c r="J33" s="359"/>
      <c r="K33" s="359"/>
    </row>
    <row r="34" spans="2:11" x14ac:dyDescent="0.2">
      <c r="B34" s="359"/>
      <c r="C34" s="359"/>
      <c r="D34" s="359"/>
      <c r="E34" s="359"/>
      <c r="F34" s="359"/>
      <c r="G34" s="359"/>
      <c r="H34" s="359"/>
      <c r="I34" s="359"/>
      <c r="J34" s="359"/>
      <c r="K34" s="359"/>
    </row>
    <row r="35" spans="2:11" x14ac:dyDescent="0.2">
      <c r="B35" s="359"/>
      <c r="C35" s="359"/>
      <c r="D35" s="359"/>
      <c r="E35" s="359"/>
      <c r="F35" s="359"/>
      <c r="G35" s="359"/>
      <c r="H35" s="359"/>
      <c r="I35" s="359"/>
      <c r="J35" s="359"/>
      <c r="K35" s="359"/>
    </row>
    <row r="36" spans="2:11" x14ac:dyDescent="0.2">
      <c r="B36" s="359"/>
      <c r="C36" s="359"/>
      <c r="D36" s="359"/>
      <c r="E36" s="359"/>
      <c r="F36" s="359"/>
      <c r="G36" s="359"/>
      <c r="H36" s="359"/>
      <c r="I36" s="359"/>
      <c r="J36" s="359"/>
      <c r="K36" s="359"/>
    </row>
    <row r="37" spans="2:11" ht="17.100000000000001" customHeight="1" x14ac:dyDescent="0.2">
      <c r="B37" s="359"/>
      <c r="C37" s="359"/>
      <c r="D37" s="359"/>
      <c r="E37" s="359"/>
      <c r="F37" s="359"/>
      <c r="G37" s="359"/>
      <c r="H37" s="359"/>
      <c r="I37" s="359"/>
      <c r="J37" s="359"/>
      <c r="K37" s="359"/>
    </row>
    <row r="38" spans="2:11" x14ac:dyDescent="0.2">
      <c r="B38" s="359"/>
      <c r="C38" s="359"/>
      <c r="D38" s="359"/>
      <c r="E38" s="359"/>
      <c r="F38" s="359"/>
      <c r="G38" s="359"/>
      <c r="H38" s="359"/>
      <c r="I38" s="359"/>
      <c r="J38" s="359"/>
      <c r="K38" s="359"/>
    </row>
    <row r="39" spans="2:11" x14ac:dyDescent="0.2">
      <c r="B39" s="359"/>
      <c r="C39" s="359"/>
      <c r="D39" s="359"/>
      <c r="E39" s="359"/>
      <c r="F39" s="359"/>
      <c r="G39" s="359"/>
      <c r="H39" s="359"/>
      <c r="I39" s="359"/>
      <c r="J39" s="359"/>
      <c r="K39" s="359"/>
    </row>
    <row r="40" spans="2:11" x14ac:dyDescent="0.2">
      <c r="B40" s="359"/>
      <c r="C40" s="359"/>
      <c r="D40" s="359"/>
      <c r="E40" s="359"/>
      <c r="F40" s="359"/>
      <c r="G40" s="359"/>
      <c r="H40" s="359"/>
      <c r="I40" s="359"/>
      <c r="J40" s="359"/>
      <c r="K40" s="359"/>
    </row>
    <row r="41" spans="2:11" x14ac:dyDescent="0.2">
      <c r="B41" s="359"/>
      <c r="C41" s="359"/>
      <c r="D41" s="359"/>
      <c r="E41" s="359"/>
      <c r="F41" s="359"/>
      <c r="G41" s="359"/>
      <c r="H41" s="359"/>
      <c r="I41" s="359"/>
      <c r="J41" s="359"/>
      <c r="K41" s="359"/>
    </row>
    <row r="42" spans="2:11" x14ac:dyDescent="0.2">
      <c r="B42" s="359"/>
      <c r="C42" s="359"/>
      <c r="D42" s="359"/>
      <c r="E42" s="359"/>
      <c r="F42" s="359"/>
      <c r="G42" s="359"/>
      <c r="H42" s="359"/>
      <c r="I42" s="359"/>
      <c r="J42" s="359"/>
      <c r="K42" s="359"/>
    </row>
    <row r="43" spans="2:11" x14ac:dyDescent="0.2">
      <c r="B43" s="359"/>
      <c r="C43" s="359"/>
      <c r="D43" s="359"/>
      <c r="E43" s="359"/>
      <c r="F43" s="359"/>
      <c r="G43" s="359"/>
      <c r="H43" s="359"/>
      <c r="I43" s="359"/>
      <c r="J43" s="359"/>
      <c r="K43" s="359"/>
    </row>
    <row r="44" spans="2:11" x14ac:dyDescent="0.2">
      <c r="B44" s="359"/>
      <c r="C44" s="359"/>
      <c r="D44" s="359"/>
      <c r="E44" s="359"/>
      <c r="F44" s="359"/>
      <c r="G44" s="359"/>
      <c r="H44" s="359"/>
      <c r="I44" s="359"/>
      <c r="J44" s="359"/>
      <c r="K44" s="359"/>
    </row>
    <row r="45" spans="2:11" x14ac:dyDescent="0.2">
      <c r="B45" s="359"/>
      <c r="C45" s="359"/>
      <c r="D45" s="359"/>
      <c r="E45" s="359"/>
      <c r="F45" s="359"/>
      <c r="G45" s="359"/>
      <c r="H45" s="359"/>
      <c r="I45" s="359"/>
      <c r="J45" s="359"/>
      <c r="K45" s="359"/>
    </row>
    <row r="46" spans="2:11" x14ac:dyDescent="0.2">
      <c r="B46" s="359"/>
      <c r="C46" s="359"/>
      <c r="D46" s="359"/>
      <c r="E46" s="359"/>
      <c r="F46" s="359"/>
      <c r="G46" s="359"/>
      <c r="H46" s="359"/>
      <c r="I46" s="359"/>
      <c r="J46" s="359"/>
      <c r="K46" s="359"/>
    </row>
    <row r="58" spans="2:11" ht="15.95" customHeight="1" x14ac:dyDescent="0.2">
      <c r="B58" s="360" t="s">
        <v>702</v>
      </c>
      <c r="C58" s="360"/>
      <c r="D58" s="360"/>
      <c r="E58" s="360"/>
      <c r="F58" s="360"/>
      <c r="G58" s="360"/>
      <c r="H58" s="360"/>
      <c r="I58" s="360"/>
      <c r="J58" s="360"/>
      <c r="K58" s="360"/>
    </row>
    <row r="59" spans="2:11" x14ac:dyDescent="0.2">
      <c r="B59" s="360"/>
      <c r="C59" s="360"/>
      <c r="D59" s="360"/>
      <c r="E59" s="360"/>
      <c r="F59" s="360"/>
      <c r="G59" s="360"/>
      <c r="H59" s="360"/>
      <c r="I59" s="360"/>
      <c r="J59" s="360"/>
      <c r="K59" s="360"/>
    </row>
    <row r="60" spans="2:11" x14ac:dyDescent="0.2">
      <c r="B60" s="360"/>
      <c r="C60" s="360"/>
      <c r="D60" s="360"/>
      <c r="E60" s="360"/>
      <c r="F60" s="360"/>
      <c r="G60" s="360"/>
      <c r="H60" s="360"/>
      <c r="I60" s="360"/>
      <c r="J60" s="360"/>
      <c r="K60" s="360"/>
    </row>
    <row r="61" spans="2:11" x14ac:dyDescent="0.2">
      <c r="B61" s="360"/>
      <c r="C61" s="360"/>
      <c r="D61" s="360"/>
      <c r="E61" s="360"/>
      <c r="F61" s="360"/>
      <c r="G61" s="360"/>
      <c r="H61" s="360"/>
      <c r="I61" s="360"/>
      <c r="J61" s="360"/>
      <c r="K61" s="360"/>
    </row>
    <row r="62" spans="2:11" x14ac:dyDescent="0.2">
      <c r="B62" s="360"/>
      <c r="C62" s="360"/>
      <c r="D62" s="360"/>
      <c r="E62" s="360"/>
      <c r="F62" s="360"/>
      <c r="G62" s="360"/>
      <c r="H62" s="360"/>
      <c r="I62" s="360"/>
      <c r="J62" s="360"/>
      <c r="K62" s="360"/>
    </row>
    <row r="63" spans="2:11" x14ac:dyDescent="0.2">
      <c r="B63" s="360"/>
      <c r="C63" s="360"/>
      <c r="D63" s="360"/>
      <c r="E63" s="360"/>
      <c r="F63" s="360"/>
      <c r="G63" s="360"/>
      <c r="H63" s="360"/>
      <c r="I63" s="360"/>
      <c r="J63" s="360"/>
      <c r="K63" s="360"/>
    </row>
    <row r="64" spans="2:11" x14ac:dyDescent="0.2">
      <c r="B64" s="360"/>
      <c r="C64" s="360"/>
      <c r="D64" s="360"/>
      <c r="E64" s="360"/>
      <c r="F64" s="360"/>
      <c r="G64" s="360"/>
      <c r="H64" s="360"/>
      <c r="I64" s="360"/>
      <c r="J64" s="360"/>
      <c r="K64" s="360"/>
    </row>
    <row r="65" spans="2:11" x14ac:dyDescent="0.2">
      <c r="B65" s="360"/>
      <c r="C65" s="360"/>
      <c r="D65" s="360"/>
      <c r="E65" s="360"/>
      <c r="F65" s="360"/>
      <c r="G65" s="360"/>
      <c r="H65" s="360"/>
      <c r="I65" s="360"/>
      <c r="J65" s="360"/>
      <c r="K65" s="360"/>
    </row>
    <row r="66" spans="2:11" x14ac:dyDescent="0.2">
      <c r="B66" s="360"/>
      <c r="C66" s="360"/>
      <c r="D66" s="360"/>
      <c r="E66" s="360"/>
      <c r="F66" s="360"/>
      <c r="G66" s="360"/>
      <c r="H66" s="360"/>
      <c r="I66" s="360"/>
      <c r="J66" s="360"/>
      <c r="K66" s="360"/>
    </row>
    <row r="83" spans="2:11" ht="30" x14ac:dyDescent="0.25">
      <c r="B83" s="289" t="s">
        <v>703</v>
      </c>
      <c r="K83" s="339" t="s">
        <v>9</v>
      </c>
    </row>
    <row r="85" spans="2:11" ht="15.95" customHeight="1" x14ac:dyDescent="0.2">
      <c r="B85" s="359" t="s">
        <v>704</v>
      </c>
      <c r="C85" s="359"/>
      <c r="D85" s="359"/>
      <c r="E85" s="359"/>
      <c r="F85" s="359"/>
      <c r="G85" s="359"/>
      <c r="H85" s="359"/>
      <c r="I85" s="359"/>
      <c r="J85" s="359"/>
      <c r="K85" s="359"/>
    </row>
    <row r="86" spans="2:11" x14ac:dyDescent="0.2">
      <c r="B86" s="359"/>
      <c r="C86" s="359"/>
      <c r="D86" s="359"/>
      <c r="E86" s="359"/>
      <c r="F86" s="359"/>
      <c r="G86" s="359"/>
      <c r="H86" s="359"/>
      <c r="I86" s="359"/>
      <c r="J86" s="359"/>
      <c r="K86" s="359"/>
    </row>
    <row r="87" spans="2:11" x14ac:dyDescent="0.2">
      <c r="B87" s="359"/>
      <c r="C87" s="359"/>
      <c r="D87" s="359"/>
      <c r="E87" s="359"/>
      <c r="F87" s="359"/>
      <c r="G87" s="359"/>
      <c r="H87" s="359"/>
      <c r="I87" s="359"/>
      <c r="J87" s="359"/>
      <c r="K87" s="359"/>
    </row>
    <row r="88" spans="2:11" x14ac:dyDescent="0.2">
      <c r="B88" s="359"/>
      <c r="C88" s="359"/>
      <c r="D88" s="359"/>
      <c r="E88" s="359"/>
      <c r="F88" s="359"/>
      <c r="G88" s="359"/>
      <c r="H88" s="359"/>
      <c r="I88" s="359"/>
      <c r="J88" s="359"/>
      <c r="K88" s="359"/>
    </row>
    <row r="89" spans="2:11" x14ac:dyDescent="0.2">
      <c r="B89" s="359"/>
      <c r="C89" s="359"/>
      <c r="D89" s="359"/>
      <c r="E89" s="359"/>
      <c r="F89" s="359"/>
      <c r="G89" s="359"/>
      <c r="H89" s="359"/>
      <c r="I89" s="359"/>
      <c r="J89" s="359"/>
      <c r="K89" s="359"/>
    </row>
    <row r="90" spans="2:11" x14ac:dyDescent="0.2">
      <c r="B90" s="359"/>
      <c r="C90" s="359"/>
      <c r="D90" s="359"/>
      <c r="E90" s="359"/>
      <c r="F90" s="359"/>
      <c r="G90" s="359"/>
      <c r="H90" s="359"/>
      <c r="I90" s="359"/>
      <c r="J90" s="359"/>
      <c r="K90" s="359"/>
    </row>
    <row r="91" spans="2:11" x14ac:dyDescent="0.2">
      <c r="B91" s="359"/>
      <c r="C91" s="359"/>
      <c r="D91" s="359"/>
      <c r="E91" s="359"/>
      <c r="F91" s="359"/>
      <c r="G91" s="359"/>
      <c r="H91" s="359"/>
      <c r="I91" s="359"/>
      <c r="J91" s="359"/>
      <c r="K91" s="359"/>
    </row>
    <row r="92" spans="2:11" x14ac:dyDescent="0.2">
      <c r="B92" s="359"/>
      <c r="C92" s="359"/>
      <c r="D92" s="359"/>
      <c r="E92" s="359"/>
      <c r="F92" s="359"/>
      <c r="G92" s="359"/>
      <c r="H92" s="359"/>
      <c r="I92" s="359"/>
      <c r="J92" s="359"/>
      <c r="K92" s="359"/>
    </row>
    <row r="93" spans="2:11" x14ac:dyDescent="0.2">
      <c r="B93" s="359"/>
      <c r="C93" s="359"/>
      <c r="D93" s="359"/>
      <c r="E93" s="359"/>
      <c r="F93" s="359"/>
      <c r="G93" s="359"/>
      <c r="H93" s="359"/>
      <c r="I93" s="359"/>
      <c r="J93" s="359"/>
      <c r="K93" s="359"/>
    </row>
    <row r="94" spans="2:11" x14ac:dyDescent="0.2">
      <c r="B94" s="359"/>
      <c r="C94" s="359"/>
      <c r="D94" s="359"/>
      <c r="E94" s="359"/>
      <c r="F94" s="359"/>
      <c r="G94" s="359"/>
      <c r="H94" s="359"/>
      <c r="I94" s="359"/>
      <c r="J94" s="359"/>
      <c r="K94" s="359"/>
    </row>
    <row r="95" spans="2:11" x14ac:dyDescent="0.2">
      <c r="B95" s="359"/>
      <c r="C95" s="359"/>
      <c r="D95" s="359"/>
      <c r="E95" s="359"/>
      <c r="F95" s="359"/>
      <c r="G95" s="359"/>
      <c r="H95" s="359"/>
      <c r="I95" s="359"/>
      <c r="J95" s="359"/>
      <c r="K95" s="359"/>
    </row>
    <row r="96" spans="2:11" x14ac:dyDescent="0.2">
      <c r="B96" s="359"/>
      <c r="C96" s="359"/>
      <c r="D96" s="359"/>
      <c r="E96" s="359"/>
      <c r="F96" s="359"/>
      <c r="G96" s="359"/>
      <c r="H96" s="359"/>
      <c r="I96" s="359"/>
      <c r="J96" s="359"/>
      <c r="K96" s="359"/>
    </row>
    <row r="97" spans="2:11" x14ac:dyDescent="0.2">
      <c r="B97" s="359"/>
      <c r="C97" s="359"/>
      <c r="D97" s="359"/>
      <c r="E97" s="359"/>
      <c r="F97" s="359"/>
      <c r="G97" s="359"/>
      <c r="H97" s="359"/>
      <c r="I97" s="359"/>
      <c r="J97" s="359"/>
      <c r="K97" s="359"/>
    </row>
    <row r="98" spans="2:11" x14ac:dyDescent="0.2">
      <c r="B98" s="359"/>
      <c r="C98" s="359"/>
      <c r="D98" s="359"/>
      <c r="E98" s="359"/>
      <c r="F98" s="359"/>
      <c r="G98" s="359"/>
      <c r="H98" s="359"/>
      <c r="I98" s="359"/>
      <c r="J98" s="359"/>
      <c r="K98" s="359"/>
    </row>
    <row r="99" spans="2:11" x14ac:dyDescent="0.2">
      <c r="B99" s="359"/>
      <c r="C99" s="359"/>
      <c r="D99" s="359"/>
      <c r="E99" s="359"/>
      <c r="F99" s="359"/>
      <c r="G99" s="359"/>
      <c r="H99" s="359"/>
      <c r="I99" s="359"/>
      <c r="J99" s="359"/>
      <c r="K99" s="359"/>
    </row>
    <row r="100" spans="2:11" x14ac:dyDescent="0.2">
      <c r="B100" s="359"/>
      <c r="C100" s="359"/>
      <c r="D100" s="359"/>
      <c r="E100" s="359"/>
      <c r="F100" s="359"/>
      <c r="G100" s="359"/>
      <c r="H100" s="359"/>
      <c r="I100" s="359"/>
      <c r="J100" s="359"/>
      <c r="K100" s="359"/>
    </row>
    <row r="101" spans="2:11" x14ac:dyDescent="0.2">
      <c r="B101" s="359"/>
      <c r="C101" s="359"/>
      <c r="D101" s="359"/>
      <c r="E101" s="359"/>
      <c r="F101" s="359"/>
      <c r="G101" s="359"/>
      <c r="H101" s="359"/>
      <c r="I101" s="359"/>
      <c r="J101" s="359"/>
      <c r="K101" s="359"/>
    </row>
    <row r="102" spans="2:11" x14ac:dyDescent="0.2">
      <c r="B102" s="359"/>
      <c r="C102" s="359"/>
      <c r="D102" s="359"/>
      <c r="E102" s="359"/>
      <c r="F102" s="359"/>
      <c r="G102" s="359"/>
      <c r="H102" s="359"/>
      <c r="I102" s="359"/>
      <c r="J102" s="359"/>
      <c r="K102" s="359"/>
    </row>
    <row r="103" spans="2:11" x14ac:dyDescent="0.2">
      <c r="B103" s="359"/>
      <c r="C103" s="359"/>
      <c r="D103" s="359"/>
      <c r="E103" s="359"/>
      <c r="F103" s="359"/>
      <c r="G103" s="359"/>
      <c r="H103" s="359"/>
      <c r="I103" s="359"/>
      <c r="J103" s="359"/>
      <c r="K103" s="359"/>
    </row>
    <row r="129" spans="2:11" ht="15.95" customHeight="1" x14ac:dyDescent="0.2">
      <c r="B129" s="359" t="s">
        <v>705</v>
      </c>
      <c r="C129" s="359"/>
      <c r="D129" s="359"/>
      <c r="E129" s="359"/>
      <c r="F129" s="359"/>
      <c r="G129" s="359"/>
      <c r="H129" s="359"/>
      <c r="I129" s="359"/>
      <c r="J129" s="359"/>
      <c r="K129" s="359"/>
    </row>
    <row r="130" spans="2:11" x14ac:dyDescent="0.2">
      <c r="B130" s="359"/>
      <c r="C130" s="359"/>
      <c r="D130" s="359"/>
      <c r="E130" s="359"/>
      <c r="F130" s="359"/>
      <c r="G130" s="359"/>
      <c r="H130" s="359"/>
      <c r="I130" s="359"/>
      <c r="J130" s="359"/>
      <c r="K130" s="359"/>
    </row>
    <row r="131" spans="2:11" x14ac:dyDescent="0.2">
      <c r="B131" s="359"/>
      <c r="C131" s="359"/>
      <c r="D131" s="359"/>
      <c r="E131" s="359"/>
      <c r="F131" s="359"/>
      <c r="G131" s="359"/>
      <c r="H131" s="359"/>
      <c r="I131" s="359"/>
      <c r="J131" s="359"/>
      <c r="K131" s="359"/>
    </row>
    <row r="132" spans="2:11" x14ac:dyDescent="0.2">
      <c r="B132" s="359"/>
      <c r="C132" s="359"/>
      <c r="D132" s="359"/>
      <c r="E132" s="359"/>
      <c r="F132" s="359"/>
      <c r="G132" s="359"/>
      <c r="H132" s="359"/>
      <c r="I132" s="359"/>
      <c r="J132" s="359"/>
      <c r="K132" s="359"/>
    </row>
    <row r="133" spans="2:11" x14ac:dyDescent="0.2">
      <c r="B133" s="359"/>
      <c r="C133" s="359"/>
      <c r="D133" s="359"/>
      <c r="E133" s="359"/>
      <c r="F133" s="359"/>
      <c r="G133" s="359"/>
      <c r="H133" s="359"/>
      <c r="I133" s="359"/>
      <c r="J133" s="359"/>
      <c r="K133" s="359"/>
    </row>
    <row r="134" spans="2:11" x14ac:dyDescent="0.2">
      <c r="B134" s="359"/>
      <c r="C134" s="359"/>
      <c r="D134" s="359"/>
      <c r="E134" s="359"/>
      <c r="F134" s="359"/>
      <c r="G134" s="359"/>
      <c r="H134" s="359"/>
      <c r="I134" s="359"/>
      <c r="J134" s="359"/>
      <c r="K134" s="359"/>
    </row>
    <row r="136" spans="2:11" ht="15.95" customHeight="1" x14ac:dyDescent="0.2">
      <c r="B136" s="359" t="s">
        <v>706</v>
      </c>
      <c r="C136" s="359"/>
      <c r="D136" s="359"/>
      <c r="E136" s="359"/>
      <c r="F136" s="359"/>
      <c r="G136" s="359"/>
      <c r="H136" s="359"/>
      <c r="I136" s="359"/>
      <c r="J136" s="359"/>
      <c r="K136" s="359"/>
    </row>
    <row r="137" spans="2:11" x14ac:dyDescent="0.2">
      <c r="B137" s="359"/>
      <c r="C137" s="359"/>
      <c r="D137" s="359"/>
      <c r="E137" s="359"/>
      <c r="F137" s="359"/>
      <c r="G137" s="359"/>
      <c r="H137" s="359"/>
      <c r="I137" s="359"/>
      <c r="J137" s="359"/>
      <c r="K137" s="359"/>
    </row>
    <row r="138" spans="2:11" x14ac:dyDescent="0.2">
      <c r="B138" s="359"/>
      <c r="C138" s="359"/>
      <c r="D138" s="359"/>
      <c r="E138" s="359"/>
      <c r="F138" s="359"/>
      <c r="G138" s="359"/>
      <c r="H138" s="359"/>
      <c r="I138" s="359"/>
      <c r="J138" s="359"/>
      <c r="K138" s="359"/>
    </row>
    <row r="139" spans="2:11" x14ac:dyDescent="0.2">
      <c r="B139" s="359"/>
      <c r="C139" s="359"/>
      <c r="D139" s="359"/>
      <c r="E139" s="359"/>
      <c r="F139" s="359"/>
      <c r="G139" s="359"/>
      <c r="H139" s="359"/>
      <c r="I139" s="359"/>
      <c r="J139" s="359"/>
      <c r="K139" s="359"/>
    </row>
    <row r="140" spans="2:11" x14ac:dyDescent="0.2">
      <c r="B140" s="359"/>
      <c r="C140" s="359"/>
      <c r="D140" s="359"/>
      <c r="E140" s="359"/>
      <c r="F140" s="359"/>
      <c r="G140" s="359"/>
      <c r="H140" s="359"/>
      <c r="I140" s="359"/>
      <c r="J140" s="359"/>
      <c r="K140" s="359"/>
    </row>
    <row r="141" spans="2:11" x14ac:dyDescent="0.2">
      <c r="B141" s="359"/>
      <c r="C141" s="359"/>
      <c r="D141" s="359"/>
      <c r="E141" s="359"/>
      <c r="F141" s="359"/>
      <c r="G141" s="359"/>
      <c r="H141" s="359"/>
      <c r="I141" s="359"/>
      <c r="J141" s="359"/>
      <c r="K141" s="359"/>
    </row>
    <row r="142" spans="2:11" x14ac:dyDescent="0.2">
      <c r="B142" s="359"/>
      <c r="C142" s="359"/>
      <c r="D142" s="359"/>
      <c r="E142" s="359"/>
      <c r="F142" s="359"/>
      <c r="G142" s="359"/>
      <c r="H142" s="359"/>
      <c r="I142" s="359"/>
      <c r="J142" s="359"/>
      <c r="K142" s="359"/>
    </row>
    <row r="143" spans="2:11" x14ac:dyDescent="0.2">
      <c r="B143" s="359"/>
      <c r="C143" s="359"/>
      <c r="D143" s="359"/>
      <c r="E143" s="359"/>
      <c r="F143" s="359"/>
      <c r="G143" s="359"/>
      <c r="H143" s="359"/>
      <c r="I143" s="359"/>
      <c r="J143" s="359"/>
      <c r="K143" s="359"/>
    </row>
    <row r="144" spans="2:11" x14ac:dyDescent="0.2">
      <c r="B144" s="359"/>
      <c r="C144" s="359"/>
      <c r="D144" s="359"/>
      <c r="E144" s="359"/>
      <c r="F144" s="359"/>
      <c r="G144" s="359"/>
      <c r="H144" s="359"/>
      <c r="I144" s="359"/>
      <c r="J144" s="359"/>
      <c r="K144" s="359"/>
    </row>
    <row r="145" spans="2:11" x14ac:dyDescent="0.2">
      <c r="B145" s="359"/>
      <c r="C145" s="359"/>
      <c r="D145" s="359"/>
      <c r="E145" s="359"/>
      <c r="F145" s="359"/>
      <c r="G145" s="359"/>
      <c r="H145" s="359"/>
      <c r="I145" s="359"/>
      <c r="J145" s="359"/>
      <c r="K145" s="359"/>
    </row>
    <row r="146" spans="2:11" x14ac:dyDescent="0.2">
      <c r="B146" s="359"/>
      <c r="C146" s="359"/>
      <c r="D146" s="359"/>
      <c r="E146" s="359"/>
      <c r="F146" s="359"/>
      <c r="G146" s="359"/>
      <c r="H146" s="359"/>
      <c r="I146" s="359"/>
      <c r="J146" s="359"/>
      <c r="K146" s="359"/>
    </row>
    <row r="147" spans="2:11" x14ac:dyDescent="0.2">
      <c r="B147" s="359"/>
      <c r="C147" s="359"/>
      <c r="D147" s="359"/>
      <c r="E147" s="359"/>
      <c r="F147" s="359"/>
      <c r="G147" s="359"/>
      <c r="H147" s="359"/>
      <c r="I147" s="359"/>
      <c r="J147" s="359"/>
      <c r="K147" s="359"/>
    </row>
    <row r="148" spans="2:11" x14ac:dyDescent="0.2">
      <c r="B148" s="359"/>
      <c r="C148" s="359"/>
      <c r="D148" s="359"/>
      <c r="E148" s="359"/>
      <c r="F148" s="359"/>
      <c r="G148" s="359"/>
      <c r="H148" s="359"/>
      <c r="I148" s="359"/>
      <c r="J148" s="359"/>
      <c r="K148" s="359"/>
    </row>
    <row r="149" spans="2:11" x14ac:dyDescent="0.2">
      <c r="B149" s="359"/>
      <c r="C149" s="359"/>
      <c r="D149" s="359"/>
      <c r="E149" s="359"/>
      <c r="F149" s="359"/>
      <c r="G149" s="359"/>
      <c r="H149" s="359"/>
      <c r="I149" s="359"/>
      <c r="J149" s="359"/>
      <c r="K149" s="359"/>
    </row>
    <row r="150" spans="2:11" x14ac:dyDescent="0.2">
      <c r="B150" s="290"/>
      <c r="C150" s="290"/>
      <c r="D150" s="290"/>
      <c r="E150" s="290"/>
      <c r="F150" s="290"/>
      <c r="G150" s="290"/>
      <c r="H150" s="290"/>
      <c r="I150" s="290"/>
      <c r="J150" s="290"/>
      <c r="K150" s="290"/>
    </row>
    <row r="151" spans="2:11" x14ac:dyDescent="0.2">
      <c r="B151" s="290"/>
      <c r="C151" s="290"/>
      <c r="D151" s="290"/>
      <c r="E151" s="290"/>
      <c r="F151" s="290"/>
      <c r="G151" s="290"/>
      <c r="H151" s="290"/>
      <c r="I151" s="290"/>
      <c r="J151" s="290"/>
      <c r="K151" s="290"/>
    </row>
    <row r="152" spans="2:11" x14ac:dyDescent="0.2">
      <c r="B152" s="290"/>
      <c r="C152" s="290"/>
      <c r="D152" s="290"/>
      <c r="E152" s="290"/>
      <c r="F152" s="290"/>
      <c r="G152" s="290"/>
      <c r="H152" s="290"/>
      <c r="I152" s="290"/>
      <c r="J152" s="290"/>
      <c r="K152" s="290"/>
    </row>
    <row r="153" spans="2:11" x14ac:dyDescent="0.2">
      <c r="B153" s="290"/>
      <c r="C153" s="290"/>
      <c r="D153" s="290"/>
      <c r="E153" s="290"/>
      <c r="F153" s="290"/>
      <c r="G153" s="290"/>
      <c r="H153" s="290"/>
      <c r="I153" s="290"/>
      <c r="J153" s="290"/>
      <c r="K153" s="290"/>
    </row>
    <row r="154" spans="2:11" x14ac:dyDescent="0.2">
      <c r="B154" s="290"/>
      <c r="C154" s="290"/>
      <c r="D154" s="290"/>
      <c r="E154" s="290"/>
      <c r="F154" s="290"/>
      <c r="G154" s="290"/>
      <c r="H154" s="290"/>
      <c r="I154" s="290"/>
      <c r="J154" s="290"/>
      <c r="K154" s="290"/>
    </row>
  </sheetData>
  <sheetProtection algorithmName="SHA-512" hashValue="NTEXaT1p2I7GzsPxMJfI4CqU4KLQNs2WfBr4WvxDBjp1M5T6ZSC4rFwDds/ArE+yoE4Mj+D/9so6hl/qaCwuwQ==" saltValue="eUdPJJExQUM0+veU4x4vKw==" spinCount="100000"/>
  <mergeCells count="10">
    <mergeCell ref="I21:K21"/>
    <mergeCell ref="B17:K17"/>
    <mergeCell ref="B9:K16"/>
    <mergeCell ref="B7:K7"/>
    <mergeCell ref="B18:K20"/>
    <mergeCell ref="B129:K134"/>
    <mergeCell ref="B136:K149"/>
    <mergeCell ref="B22:K46"/>
    <mergeCell ref="B58:K66"/>
    <mergeCell ref="B85:K103"/>
  </mergeCells>
  <hyperlinks>
    <hyperlink ref="B1" location="Inicio!A1" display="Inicio" xr:uid="{2E18662C-56A0-2B4D-BB61-71A1ECED1952}"/>
    <hyperlink ref="K83" location="'Modelo de Madurez'!A1" display="Modelo de madurez" xr:uid="{27BFE2F5-B298-3645-AE2F-69DDEBF3146F}"/>
    <hyperlink ref="I21:K21" location="'Modelo de Madurez'!A1" display="Ver modelo de madurez" xr:uid="{43AC4278-BB23-624F-9D8F-7D10E478FE06}"/>
  </hyperlinks>
  <pageMargins left="0.7" right="0.7" top="0.75" bottom="0.75" header="0.3" footer="0.3"/>
  <pageSetup scale="65" orientation="portrait" horizontalDpi="1200" verticalDpi="1200" r:id="rId1"/>
  <rowBreaks count="2" manualBreakCount="2">
    <brk id="66" min="1" max="10" man="1"/>
    <brk id="135" min="1"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207E6-F788-C340-9763-A2380AD4BE00}">
  <sheetPr codeName="Hoja14"/>
  <dimension ref="B1:K156"/>
  <sheetViews>
    <sheetView showGridLines="0" view="pageBreakPreview" topLeftCell="A24" zoomScale="112" zoomScaleNormal="100" zoomScaleSheetLayoutView="112" workbookViewId="0"/>
  </sheetViews>
  <sheetFormatPr baseColWidth="10" defaultColWidth="10.875" defaultRowHeight="15" x14ac:dyDescent="0.2"/>
  <cols>
    <col min="1" max="1" width="10.875" style="289"/>
    <col min="2" max="2" width="10.875" style="289" customWidth="1"/>
    <col min="3" max="16384" width="10.875" style="289"/>
  </cols>
  <sheetData>
    <row r="1" spans="2:11" ht="15.75" x14ac:dyDescent="0.25">
      <c r="B1" s="273" t="s">
        <v>52</v>
      </c>
    </row>
    <row r="6" spans="2:11" ht="27.75" x14ac:dyDescent="0.4">
      <c r="B6" s="363" t="s">
        <v>707</v>
      </c>
      <c r="C6" s="363"/>
      <c r="D6" s="363"/>
      <c r="E6" s="363"/>
      <c r="F6" s="363"/>
      <c r="G6" s="363"/>
      <c r="H6" s="363"/>
      <c r="I6" s="363"/>
      <c r="J6" s="363"/>
      <c r="K6" s="363"/>
    </row>
    <row r="8" spans="2:11" s="290" customFormat="1" ht="15.95" customHeight="1" x14ac:dyDescent="0.25">
      <c r="B8" s="359" t="s">
        <v>708</v>
      </c>
      <c r="C8" s="359"/>
      <c r="D8" s="359"/>
      <c r="E8" s="359"/>
      <c r="F8" s="359"/>
      <c r="G8" s="359"/>
      <c r="H8" s="359"/>
      <c r="I8" s="359"/>
      <c r="J8" s="359"/>
      <c r="K8" s="359"/>
    </row>
    <row r="9" spans="2:11" s="290" customFormat="1" x14ac:dyDescent="0.25">
      <c r="B9" s="359"/>
      <c r="C9" s="359"/>
      <c r="D9" s="359"/>
      <c r="E9" s="359"/>
      <c r="F9" s="359"/>
      <c r="G9" s="359"/>
      <c r="H9" s="359"/>
      <c r="I9" s="359"/>
      <c r="J9" s="359"/>
      <c r="K9" s="359"/>
    </row>
    <row r="10" spans="2:11" s="290" customFormat="1" x14ac:dyDescent="0.25">
      <c r="B10" s="359"/>
      <c r="C10" s="359"/>
      <c r="D10" s="359"/>
      <c r="E10" s="359"/>
      <c r="F10" s="359"/>
      <c r="G10" s="359"/>
      <c r="H10" s="359"/>
      <c r="I10" s="359"/>
      <c r="J10" s="359"/>
      <c r="K10" s="359"/>
    </row>
    <row r="11" spans="2:11" s="290" customFormat="1" x14ac:dyDescent="0.25">
      <c r="B11" s="359"/>
      <c r="C11" s="359"/>
      <c r="D11" s="359"/>
      <c r="E11" s="359"/>
      <c r="F11" s="359"/>
      <c r="G11" s="359"/>
      <c r="H11" s="359"/>
      <c r="I11" s="359"/>
      <c r="J11" s="359"/>
      <c r="K11" s="359"/>
    </row>
    <row r="12" spans="2:11" s="290" customFormat="1" x14ac:dyDescent="0.25">
      <c r="B12" s="359"/>
      <c r="C12" s="359"/>
      <c r="D12" s="359"/>
      <c r="E12" s="359"/>
      <c r="F12" s="359"/>
      <c r="G12" s="359"/>
      <c r="H12" s="359"/>
      <c r="I12" s="359"/>
      <c r="J12" s="359"/>
      <c r="K12" s="359"/>
    </row>
    <row r="13" spans="2:11" s="290" customFormat="1" x14ac:dyDescent="0.25">
      <c r="B13" s="359"/>
      <c r="C13" s="359"/>
      <c r="D13" s="359"/>
      <c r="E13" s="359"/>
      <c r="F13" s="359"/>
      <c r="G13" s="359"/>
      <c r="H13" s="359"/>
      <c r="I13" s="359"/>
      <c r="J13" s="359"/>
      <c r="K13" s="359"/>
    </row>
    <row r="14" spans="2:11" s="290" customFormat="1" x14ac:dyDescent="0.25">
      <c r="B14" s="359"/>
      <c r="C14" s="359"/>
      <c r="D14" s="359"/>
      <c r="E14" s="359"/>
      <c r="F14" s="359"/>
      <c r="G14" s="359"/>
      <c r="H14" s="359"/>
      <c r="I14" s="359"/>
      <c r="J14" s="359"/>
      <c r="K14" s="359"/>
    </row>
    <row r="15" spans="2:11" s="290" customFormat="1" x14ac:dyDescent="0.25">
      <c r="B15" s="337"/>
      <c r="C15" s="337"/>
      <c r="D15" s="337"/>
      <c r="E15" s="337"/>
      <c r="F15" s="337"/>
      <c r="G15" s="337"/>
      <c r="H15" s="337"/>
      <c r="I15" s="337"/>
      <c r="J15" s="337"/>
      <c r="K15" s="337"/>
    </row>
    <row r="16" spans="2:11" s="290" customFormat="1" ht="30" customHeight="1" x14ac:dyDescent="0.25">
      <c r="B16" s="362" t="s">
        <v>698</v>
      </c>
      <c r="C16" s="362"/>
      <c r="D16" s="362"/>
      <c r="E16" s="362"/>
      <c r="F16" s="362"/>
      <c r="G16" s="362"/>
      <c r="H16" s="362"/>
      <c r="I16" s="362"/>
      <c r="J16" s="362"/>
      <c r="K16" s="362"/>
    </row>
    <row r="17" spans="2:11" s="290" customFormat="1" ht="30" customHeight="1" x14ac:dyDescent="0.25">
      <c r="B17" s="360" t="s">
        <v>709</v>
      </c>
      <c r="C17" s="360"/>
      <c r="D17" s="360"/>
      <c r="E17" s="360"/>
      <c r="F17" s="360"/>
      <c r="G17" s="360"/>
      <c r="H17" s="360"/>
      <c r="I17" s="360"/>
      <c r="J17" s="360"/>
      <c r="K17" s="360"/>
    </row>
    <row r="18" spans="2:11" s="290" customFormat="1" x14ac:dyDescent="0.25">
      <c r="B18" s="360"/>
      <c r="C18" s="360"/>
      <c r="D18" s="360"/>
      <c r="E18" s="360"/>
      <c r="F18" s="360"/>
      <c r="G18" s="360"/>
      <c r="H18" s="360"/>
      <c r="I18" s="360"/>
      <c r="J18" s="360"/>
      <c r="K18" s="360"/>
    </row>
    <row r="19" spans="2:11" s="290" customFormat="1" x14ac:dyDescent="0.25">
      <c r="B19" s="360"/>
      <c r="C19" s="360"/>
      <c r="D19" s="360"/>
      <c r="E19" s="360"/>
      <c r="F19" s="360"/>
      <c r="G19" s="360"/>
      <c r="H19" s="360"/>
      <c r="I19" s="360"/>
      <c r="J19" s="360"/>
      <c r="K19" s="360"/>
    </row>
    <row r="20" spans="2:11" s="290" customFormat="1" ht="20.25" x14ac:dyDescent="0.25">
      <c r="B20" s="291"/>
      <c r="C20" s="291"/>
      <c r="D20" s="291"/>
      <c r="E20" s="291"/>
      <c r="F20" s="291"/>
      <c r="G20" s="291"/>
      <c r="H20" s="291"/>
      <c r="I20" s="361" t="s">
        <v>700</v>
      </c>
      <c r="J20" s="361"/>
      <c r="K20" s="361"/>
    </row>
    <row r="21" spans="2:11" ht="15.95" customHeight="1" x14ac:dyDescent="0.2">
      <c r="B21" s="359" t="s">
        <v>710</v>
      </c>
      <c r="C21" s="359"/>
      <c r="D21" s="359"/>
      <c r="E21" s="359"/>
      <c r="F21" s="359"/>
      <c r="G21" s="359"/>
      <c r="H21" s="359"/>
      <c r="I21" s="359"/>
      <c r="J21" s="359"/>
      <c r="K21" s="359"/>
    </row>
    <row r="22" spans="2:11" x14ac:dyDescent="0.2">
      <c r="B22" s="359"/>
      <c r="C22" s="359"/>
      <c r="D22" s="359"/>
      <c r="E22" s="359"/>
      <c r="F22" s="359"/>
      <c r="G22" s="359"/>
      <c r="H22" s="359"/>
      <c r="I22" s="359"/>
      <c r="J22" s="359"/>
      <c r="K22" s="359"/>
    </row>
    <row r="23" spans="2:11" x14ac:dyDescent="0.2">
      <c r="B23" s="359"/>
      <c r="C23" s="359"/>
      <c r="D23" s="359"/>
      <c r="E23" s="359"/>
      <c r="F23" s="359"/>
      <c r="G23" s="359"/>
      <c r="H23" s="359"/>
      <c r="I23" s="359"/>
      <c r="J23" s="359"/>
      <c r="K23" s="359"/>
    </row>
    <row r="24" spans="2:11" x14ac:dyDescent="0.2">
      <c r="B24" s="359"/>
      <c r="C24" s="359"/>
      <c r="D24" s="359"/>
      <c r="E24" s="359"/>
      <c r="F24" s="359"/>
      <c r="G24" s="359"/>
      <c r="H24" s="359"/>
      <c r="I24" s="359"/>
      <c r="J24" s="359"/>
      <c r="K24" s="359"/>
    </row>
    <row r="25" spans="2:11" x14ac:dyDescent="0.2">
      <c r="B25" s="359"/>
      <c r="C25" s="359"/>
      <c r="D25" s="359"/>
      <c r="E25" s="359"/>
      <c r="F25" s="359"/>
      <c r="G25" s="359"/>
      <c r="H25" s="359"/>
      <c r="I25" s="359"/>
      <c r="J25" s="359"/>
      <c r="K25" s="359"/>
    </row>
    <row r="26" spans="2:11" x14ac:dyDescent="0.2">
      <c r="B26" s="359"/>
      <c r="C26" s="359"/>
      <c r="D26" s="359"/>
      <c r="E26" s="359"/>
      <c r="F26" s="359"/>
      <c r="G26" s="359"/>
      <c r="H26" s="359"/>
      <c r="I26" s="359"/>
      <c r="J26" s="359"/>
      <c r="K26" s="359"/>
    </row>
    <row r="27" spans="2:11" x14ac:dyDescent="0.2">
      <c r="B27" s="359"/>
      <c r="C27" s="359"/>
      <c r="D27" s="359"/>
      <c r="E27" s="359"/>
      <c r="F27" s="359"/>
      <c r="G27" s="359"/>
      <c r="H27" s="359"/>
      <c r="I27" s="359"/>
      <c r="J27" s="359"/>
      <c r="K27" s="359"/>
    </row>
    <row r="28" spans="2:11" x14ac:dyDescent="0.2">
      <c r="B28" s="359"/>
      <c r="C28" s="359"/>
      <c r="D28" s="359"/>
      <c r="E28" s="359"/>
      <c r="F28" s="359"/>
      <c r="G28" s="359"/>
      <c r="H28" s="359"/>
      <c r="I28" s="359"/>
      <c r="J28" s="359"/>
      <c r="K28" s="359"/>
    </row>
    <row r="29" spans="2:11" x14ac:dyDescent="0.2">
      <c r="B29" s="359"/>
      <c r="C29" s="359"/>
      <c r="D29" s="359"/>
      <c r="E29" s="359"/>
      <c r="F29" s="359"/>
      <c r="G29" s="359"/>
      <c r="H29" s="359"/>
      <c r="I29" s="359"/>
      <c r="J29" s="359"/>
      <c r="K29" s="359"/>
    </row>
    <row r="30" spans="2:11" x14ac:dyDescent="0.2">
      <c r="B30" s="359"/>
      <c r="C30" s="359"/>
      <c r="D30" s="359"/>
      <c r="E30" s="359"/>
      <c r="F30" s="359"/>
      <c r="G30" s="359"/>
      <c r="H30" s="359"/>
      <c r="I30" s="359"/>
      <c r="J30" s="359"/>
      <c r="K30" s="359"/>
    </row>
    <row r="31" spans="2:11" x14ac:dyDescent="0.2">
      <c r="B31" s="359"/>
      <c r="C31" s="359"/>
      <c r="D31" s="359"/>
      <c r="E31" s="359"/>
      <c r="F31" s="359"/>
      <c r="G31" s="359"/>
      <c r="H31" s="359"/>
      <c r="I31" s="359"/>
      <c r="J31" s="359"/>
      <c r="K31" s="359"/>
    </row>
    <row r="32" spans="2:11" x14ac:dyDescent="0.2">
      <c r="B32" s="359"/>
      <c r="C32" s="359"/>
      <c r="D32" s="359"/>
      <c r="E32" s="359"/>
      <c r="F32" s="359"/>
      <c r="G32" s="359"/>
      <c r="H32" s="359"/>
      <c r="I32" s="359"/>
      <c r="J32" s="359"/>
      <c r="K32" s="359"/>
    </row>
    <row r="33" spans="2:11" x14ac:dyDescent="0.2">
      <c r="B33" s="359"/>
      <c r="C33" s="359"/>
      <c r="D33" s="359"/>
      <c r="E33" s="359"/>
      <c r="F33" s="359"/>
      <c r="G33" s="359"/>
      <c r="H33" s="359"/>
      <c r="I33" s="359"/>
      <c r="J33" s="359"/>
      <c r="K33" s="359"/>
    </row>
    <row r="34" spans="2:11" x14ac:dyDescent="0.2">
      <c r="B34" s="359"/>
      <c r="C34" s="359"/>
      <c r="D34" s="359"/>
      <c r="E34" s="359"/>
      <c r="F34" s="359"/>
      <c r="G34" s="359"/>
      <c r="H34" s="359"/>
      <c r="I34" s="359"/>
      <c r="J34" s="359"/>
      <c r="K34" s="359"/>
    </row>
    <row r="35" spans="2:11" x14ac:dyDescent="0.2">
      <c r="B35" s="359"/>
      <c r="C35" s="359"/>
      <c r="D35" s="359"/>
      <c r="E35" s="359"/>
      <c r="F35" s="359"/>
      <c r="G35" s="359"/>
      <c r="H35" s="359"/>
      <c r="I35" s="359"/>
      <c r="J35" s="359"/>
      <c r="K35" s="359"/>
    </row>
    <row r="36" spans="2:11" ht="17.100000000000001" customHeight="1" x14ac:dyDescent="0.2">
      <c r="B36" s="359"/>
      <c r="C36" s="359"/>
      <c r="D36" s="359"/>
      <c r="E36" s="359"/>
      <c r="F36" s="359"/>
      <c r="G36" s="359"/>
      <c r="H36" s="359"/>
      <c r="I36" s="359"/>
      <c r="J36" s="359"/>
      <c r="K36" s="359"/>
    </row>
    <row r="37" spans="2:11" x14ac:dyDescent="0.2">
      <c r="B37" s="359"/>
      <c r="C37" s="359"/>
      <c r="D37" s="359"/>
      <c r="E37" s="359"/>
      <c r="F37" s="359"/>
      <c r="G37" s="359"/>
      <c r="H37" s="359"/>
      <c r="I37" s="359"/>
      <c r="J37" s="359"/>
      <c r="K37" s="359"/>
    </row>
    <row r="38" spans="2:11" x14ac:dyDescent="0.2">
      <c r="B38" s="359"/>
      <c r="C38" s="359"/>
      <c r="D38" s="359"/>
      <c r="E38" s="359"/>
      <c r="F38" s="359"/>
      <c r="G38" s="359"/>
      <c r="H38" s="359"/>
      <c r="I38" s="359"/>
      <c r="J38" s="359"/>
      <c r="K38" s="359"/>
    </row>
    <row r="39" spans="2:11" x14ac:dyDescent="0.2">
      <c r="B39" s="359"/>
      <c r="C39" s="359"/>
      <c r="D39" s="359"/>
      <c r="E39" s="359"/>
      <c r="F39" s="359"/>
      <c r="G39" s="359"/>
      <c r="H39" s="359"/>
      <c r="I39" s="359"/>
      <c r="J39" s="359"/>
      <c r="K39" s="359"/>
    </row>
    <row r="40" spans="2:11" x14ac:dyDescent="0.2">
      <c r="B40" s="359"/>
      <c r="C40" s="359"/>
      <c r="D40" s="359"/>
      <c r="E40" s="359"/>
      <c r="F40" s="359"/>
      <c r="G40" s="359"/>
      <c r="H40" s="359"/>
      <c r="I40" s="359"/>
      <c r="J40" s="359"/>
      <c r="K40" s="359"/>
    </row>
    <row r="41" spans="2:11" x14ac:dyDescent="0.2">
      <c r="B41" s="359"/>
      <c r="C41" s="359"/>
      <c r="D41" s="359"/>
      <c r="E41" s="359"/>
      <c r="F41" s="359"/>
      <c r="G41" s="359"/>
      <c r="H41" s="359"/>
      <c r="I41" s="359"/>
      <c r="J41" s="359"/>
      <c r="K41" s="359"/>
    </row>
    <row r="42" spans="2:11" x14ac:dyDescent="0.2">
      <c r="B42" s="359"/>
      <c r="C42" s="359"/>
      <c r="D42" s="359"/>
      <c r="E42" s="359"/>
      <c r="F42" s="359"/>
      <c r="G42" s="359"/>
      <c r="H42" s="359"/>
      <c r="I42" s="359"/>
      <c r="J42" s="359"/>
      <c r="K42" s="359"/>
    </row>
    <row r="43" spans="2:11" x14ac:dyDescent="0.2">
      <c r="B43" s="359"/>
      <c r="C43" s="359"/>
      <c r="D43" s="359"/>
      <c r="E43" s="359"/>
      <c r="F43" s="359"/>
      <c r="G43" s="359"/>
      <c r="H43" s="359"/>
      <c r="I43" s="359"/>
      <c r="J43" s="359"/>
      <c r="K43" s="359"/>
    </row>
    <row r="44" spans="2:11" x14ac:dyDescent="0.2">
      <c r="B44" s="359"/>
      <c r="C44" s="359"/>
      <c r="D44" s="359"/>
      <c r="E44" s="359"/>
      <c r="F44" s="359"/>
      <c r="G44" s="359"/>
      <c r="H44" s="359"/>
      <c r="I44" s="359"/>
      <c r="J44" s="359"/>
      <c r="K44" s="359"/>
    </row>
    <row r="45" spans="2:11" x14ac:dyDescent="0.2">
      <c r="B45" s="359"/>
      <c r="C45" s="359"/>
      <c r="D45" s="359"/>
      <c r="E45" s="359"/>
      <c r="F45" s="359"/>
      <c r="G45" s="359"/>
      <c r="H45" s="359"/>
      <c r="I45" s="359"/>
      <c r="J45" s="359"/>
      <c r="K45" s="359"/>
    </row>
    <row r="46" spans="2:11" ht="11.1" customHeight="1" x14ac:dyDescent="0.2">
      <c r="B46" s="359"/>
      <c r="C46" s="359"/>
      <c r="D46" s="359"/>
      <c r="E46" s="359"/>
      <c r="F46" s="359"/>
      <c r="G46" s="359"/>
      <c r="H46" s="359"/>
      <c r="I46" s="359"/>
      <c r="J46" s="359"/>
      <c r="K46" s="359"/>
    </row>
    <row r="47" spans="2:11" x14ac:dyDescent="0.2">
      <c r="B47" s="359"/>
      <c r="C47" s="359"/>
      <c r="D47" s="359"/>
      <c r="E47" s="359"/>
      <c r="F47" s="359"/>
      <c r="G47" s="359"/>
      <c r="H47" s="359"/>
      <c r="I47" s="359"/>
      <c r="J47" s="359"/>
      <c r="K47" s="359"/>
    </row>
    <row r="59" spans="2:11" ht="8.1" customHeight="1" x14ac:dyDescent="0.2"/>
    <row r="60" spans="2:11" ht="15.95" customHeight="1" x14ac:dyDescent="0.2">
      <c r="B60" s="360" t="s">
        <v>711</v>
      </c>
      <c r="C60" s="360"/>
      <c r="D60" s="360"/>
      <c r="E60" s="360"/>
      <c r="F60" s="360"/>
      <c r="G60" s="360"/>
      <c r="H60" s="360"/>
      <c r="I60" s="360"/>
      <c r="J60" s="360"/>
      <c r="K60" s="360"/>
    </row>
    <row r="61" spans="2:11" x14ac:dyDescent="0.2">
      <c r="B61" s="360"/>
      <c r="C61" s="360"/>
      <c r="D61" s="360"/>
      <c r="E61" s="360"/>
      <c r="F61" s="360"/>
      <c r="G61" s="360"/>
      <c r="H61" s="360"/>
      <c r="I61" s="360"/>
      <c r="J61" s="360"/>
      <c r="K61" s="360"/>
    </row>
    <row r="62" spans="2:11" x14ac:dyDescent="0.2">
      <c r="B62" s="360"/>
      <c r="C62" s="360"/>
      <c r="D62" s="360"/>
      <c r="E62" s="360"/>
      <c r="F62" s="360"/>
      <c r="G62" s="360"/>
      <c r="H62" s="360"/>
      <c r="I62" s="360"/>
      <c r="J62" s="360"/>
      <c r="K62" s="360"/>
    </row>
    <row r="63" spans="2:11" x14ac:dyDescent="0.2">
      <c r="B63" s="360"/>
      <c r="C63" s="360"/>
      <c r="D63" s="360"/>
      <c r="E63" s="360"/>
      <c r="F63" s="360"/>
      <c r="G63" s="360"/>
      <c r="H63" s="360"/>
      <c r="I63" s="360"/>
      <c r="J63" s="360"/>
      <c r="K63" s="360"/>
    </row>
    <row r="64" spans="2:11" x14ac:dyDescent="0.2">
      <c r="B64" s="360"/>
      <c r="C64" s="360"/>
      <c r="D64" s="360"/>
      <c r="E64" s="360"/>
      <c r="F64" s="360"/>
      <c r="G64" s="360"/>
      <c r="H64" s="360"/>
      <c r="I64" s="360"/>
      <c r="J64" s="360"/>
      <c r="K64" s="360"/>
    </row>
    <row r="65" spans="2:11" x14ac:dyDescent="0.2">
      <c r="B65" s="360"/>
      <c r="C65" s="360"/>
      <c r="D65" s="360"/>
      <c r="E65" s="360"/>
      <c r="F65" s="360"/>
      <c r="G65" s="360"/>
      <c r="H65" s="360"/>
      <c r="I65" s="360"/>
      <c r="J65" s="360"/>
      <c r="K65" s="360"/>
    </row>
    <row r="66" spans="2:11" x14ac:dyDescent="0.2">
      <c r="B66" s="360"/>
      <c r="C66" s="360"/>
      <c r="D66" s="360"/>
      <c r="E66" s="360"/>
      <c r="F66" s="360"/>
      <c r="G66" s="360"/>
      <c r="H66" s="360"/>
      <c r="I66" s="360"/>
      <c r="J66" s="360"/>
      <c r="K66" s="360"/>
    </row>
    <row r="67" spans="2:11" x14ac:dyDescent="0.2">
      <c r="B67" s="360"/>
      <c r="C67" s="360"/>
      <c r="D67" s="360"/>
      <c r="E67" s="360"/>
      <c r="F67" s="360"/>
      <c r="G67" s="360"/>
      <c r="H67" s="360"/>
      <c r="I67" s="360"/>
      <c r="J67" s="360"/>
      <c r="K67" s="360"/>
    </row>
    <row r="68" spans="2:11" x14ac:dyDescent="0.2">
      <c r="B68" s="360"/>
      <c r="C68" s="360"/>
      <c r="D68" s="360"/>
      <c r="E68" s="360"/>
      <c r="F68" s="360"/>
      <c r="G68" s="360"/>
      <c r="H68" s="360"/>
      <c r="I68" s="360"/>
      <c r="J68" s="360"/>
      <c r="K68" s="360"/>
    </row>
    <row r="69" spans="2:11" x14ac:dyDescent="0.2">
      <c r="B69" s="360"/>
      <c r="C69" s="360"/>
      <c r="D69" s="360"/>
      <c r="E69" s="360"/>
      <c r="F69" s="360"/>
      <c r="G69" s="360"/>
      <c r="H69" s="360"/>
      <c r="I69" s="360"/>
      <c r="J69" s="360"/>
      <c r="K69" s="360"/>
    </row>
    <row r="70" spans="2:11" x14ac:dyDescent="0.2">
      <c r="B70" s="360"/>
      <c r="C70" s="360"/>
      <c r="D70" s="360"/>
      <c r="E70" s="360"/>
      <c r="F70" s="360"/>
      <c r="G70" s="360"/>
      <c r="H70" s="360"/>
      <c r="I70" s="360"/>
      <c r="J70" s="360"/>
      <c r="K70" s="360"/>
    </row>
    <row r="85" spans="2:11" ht="30" x14ac:dyDescent="0.25">
      <c r="B85" s="289" t="s">
        <v>703</v>
      </c>
      <c r="K85" s="339" t="s">
        <v>9</v>
      </c>
    </row>
    <row r="87" spans="2:11" ht="15.95" customHeight="1" x14ac:dyDescent="0.2">
      <c r="B87" s="359" t="s">
        <v>712</v>
      </c>
      <c r="C87" s="359"/>
      <c r="D87" s="359"/>
      <c r="E87" s="359"/>
      <c r="F87" s="359"/>
      <c r="G87" s="359"/>
      <c r="H87" s="359"/>
      <c r="I87" s="359"/>
      <c r="J87" s="359"/>
      <c r="K87" s="359"/>
    </row>
    <row r="88" spans="2:11" x14ac:dyDescent="0.2">
      <c r="B88" s="359"/>
      <c r="C88" s="359"/>
      <c r="D88" s="359"/>
      <c r="E88" s="359"/>
      <c r="F88" s="359"/>
      <c r="G88" s="359"/>
      <c r="H88" s="359"/>
      <c r="I88" s="359"/>
      <c r="J88" s="359"/>
      <c r="K88" s="359"/>
    </row>
    <row r="89" spans="2:11" x14ac:dyDescent="0.2">
      <c r="B89" s="359"/>
      <c r="C89" s="359"/>
      <c r="D89" s="359"/>
      <c r="E89" s="359"/>
      <c r="F89" s="359"/>
      <c r="G89" s="359"/>
      <c r="H89" s="359"/>
      <c r="I89" s="359"/>
      <c r="J89" s="359"/>
      <c r="K89" s="359"/>
    </row>
    <row r="90" spans="2:11" x14ac:dyDescent="0.2">
      <c r="B90" s="359"/>
      <c r="C90" s="359"/>
      <c r="D90" s="359"/>
      <c r="E90" s="359"/>
      <c r="F90" s="359"/>
      <c r="G90" s="359"/>
      <c r="H90" s="359"/>
      <c r="I90" s="359"/>
      <c r="J90" s="359"/>
      <c r="K90" s="359"/>
    </row>
    <row r="91" spans="2:11" x14ac:dyDescent="0.2">
      <c r="B91" s="359"/>
      <c r="C91" s="359"/>
      <c r="D91" s="359"/>
      <c r="E91" s="359"/>
      <c r="F91" s="359"/>
      <c r="G91" s="359"/>
      <c r="H91" s="359"/>
      <c r="I91" s="359"/>
      <c r="J91" s="359"/>
      <c r="K91" s="359"/>
    </row>
    <row r="92" spans="2:11" x14ac:dyDescent="0.2">
      <c r="B92" s="359"/>
      <c r="C92" s="359"/>
      <c r="D92" s="359"/>
      <c r="E92" s="359"/>
      <c r="F92" s="359"/>
      <c r="G92" s="359"/>
      <c r="H92" s="359"/>
      <c r="I92" s="359"/>
      <c r="J92" s="359"/>
      <c r="K92" s="359"/>
    </row>
    <row r="93" spans="2:11" x14ac:dyDescent="0.2">
      <c r="B93" s="359"/>
      <c r="C93" s="359"/>
      <c r="D93" s="359"/>
      <c r="E93" s="359"/>
      <c r="F93" s="359"/>
      <c r="G93" s="359"/>
      <c r="H93" s="359"/>
      <c r="I93" s="359"/>
      <c r="J93" s="359"/>
      <c r="K93" s="359"/>
    </row>
    <row r="94" spans="2:11" x14ac:dyDescent="0.2">
      <c r="B94" s="359"/>
      <c r="C94" s="359"/>
      <c r="D94" s="359"/>
      <c r="E94" s="359"/>
      <c r="F94" s="359"/>
      <c r="G94" s="359"/>
      <c r="H94" s="359"/>
      <c r="I94" s="359"/>
      <c r="J94" s="359"/>
      <c r="K94" s="359"/>
    </row>
    <row r="95" spans="2:11" x14ac:dyDescent="0.2">
      <c r="B95" s="359"/>
      <c r="C95" s="359"/>
      <c r="D95" s="359"/>
      <c r="E95" s="359"/>
      <c r="F95" s="359"/>
      <c r="G95" s="359"/>
      <c r="H95" s="359"/>
      <c r="I95" s="359"/>
      <c r="J95" s="359"/>
      <c r="K95" s="359"/>
    </row>
    <row r="96" spans="2:11" x14ac:dyDescent="0.2">
      <c r="B96" s="359"/>
      <c r="C96" s="359"/>
      <c r="D96" s="359"/>
      <c r="E96" s="359"/>
      <c r="F96" s="359"/>
      <c r="G96" s="359"/>
      <c r="H96" s="359"/>
      <c r="I96" s="359"/>
      <c r="J96" s="359"/>
      <c r="K96" s="359"/>
    </row>
    <row r="97" spans="2:11" x14ac:dyDescent="0.2">
      <c r="B97" s="359"/>
      <c r="C97" s="359"/>
      <c r="D97" s="359"/>
      <c r="E97" s="359"/>
      <c r="F97" s="359"/>
      <c r="G97" s="359"/>
      <c r="H97" s="359"/>
      <c r="I97" s="359"/>
      <c r="J97" s="359"/>
      <c r="K97" s="359"/>
    </row>
    <row r="98" spans="2:11" x14ac:dyDescent="0.2">
      <c r="B98" s="359"/>
      <c r="C98" s="359"/>
      <c r="D98" s="359"/>
      <c r="E98" s="359"/>
      <c r="F98" s="359"/>
      <c r="G98" s="359"/>
      <c r="H98" s="359"/>
      <c r="I98" s="359"/>
      <c r="J98" s="359"/>
      <c r="K98" s="359"/>
    </row>
    <row r="99" spans="2:11" x14ac:dyDescent="0.2">
      <c r="B99" s="359"/>
      <c r="C99" s="359"/>
      <c r="D99" s="359"/>
      <c r="E99" s="359"/>
      <c r="F99" s="359"/>
      <c r="G99" s="359"/>
      <c r="H99" s="359"/>
      <c r="I99" s="359"/>
      <c r="J99" s="359"/>
      <c r="K99" s="359"/>
    </row>
    <row r="100" spans="2:11" x14ac:dyDescent="0.2">
      <c r="B100" s="359"/>
      <c r="C100" s="359"/>
      <c r="D100" s="359"/>
      <c r="E100" s="359"/>
      <c r="F100" s="359"/>
      <c r="G100" s="359"/>
      <c r="H100" s="359"/>
      <c r="I100" s="359"/>
      <c r="J100" s="359"/>
      <c r="K100" s="359"/>
    </row>
    <row r="101" spans="2:11" x14ac:dyDescent="0.2">
      <c r="B101" s="359"/>
      <c r="C101" s="359"/>
      <c r="D101" s="359"/>
      <c r="E101" s="359"/>
      <c r="F101" s="359"/>
      <c r="G101" s="359"/>
      <c r="H101" s="359"/>
      <c r="I101" s="359"/>
      <c r="J101" s="359"/>
      <c r="K101" s="359"/>
    </row>
    <row r="102" spans="2:11" x14ac:dyDescent="0.2">
      <c r="B102" s="359"/>
      <c r="C102" s="359"/>
      <c r="D102" s="359"/>
      <c r="E102" s="359"/>
      <c r="F102" s="359"/>
      <c r="G102" s="359"/>
      <c r="H102" s="359"/>
      <c r="I102" s="359"/>
      <c r="J102" s="359"/>
      <c r="K102" s="359"/>
    </row>
    <row r="103" spans="2:11" x14ac:dyDescent="0.2">
      <c r="B103" s="359"/>
      <c r="C103" s="359"/>
      <c r="D103" s="359"/>
      <c r="E103" s="359"/>
      <c r="F103" s="359"/>
      <c r="G103" s="359"/>
      <c r="H103" s="359"/>
      <c r="I103" s="359"/>
      <c r="J103" s="359"/>
      <c r="K103" s="359"/>
    </row>
    <row r="104" spans="2:11" x14ac:dyDescent="0.2">
      <c r="B104" s="359"/>
      <c r="C104" s="359"/>
      <c r="D104" s="359"/>
      <c r="E104" s="359"/>
      <c r="F104" s="359"/>
      <c r="G104" s="359"/>
      <c r="H104" s="359"/>
      <c r="I104" s="359"/>
      <c r="J104" s="359"/>
      <c r="K104" s="359"/>
    </row>
    <row r="105" spans="2:11" x14ac:dyDescent="0.2">
      <c r="B105" s="359"/>
      <c r="C105" s="359"/>
      <c r="D105" s="359"/>
      <c r="E105" s="359"/>
      <c r="F105" s="359"/>
      <c r="G105" s="359"/>
      <c r="H105" s="359"/>
      <c r="I105" s="359"/>
      <c r="J105" s="359"/>
      <c r="K105" s="359"/>
    </row>
    <row r="106" spans="2:11" x14ac:dyDescent="0.2">
      <c r="B106" s="359"/>
      <c r="C106" s="359"/>
      <c r="D106" s="359"/>
      <c r="E106" s="359"/>
      <c r="F106" s="359"/>
      <c r="G106" s="359"/>
      <c r="H106" s="359"/>
      <c r="I106" s="359"/>
      <c r="J106" s="359"/>
      <c r="K106" s="359"/>
    </row>
    <row r="107" spans="2:11" ht="20.100000000000001" customHeight="1" x14ac:dyDescent="0.2">
      <c r="B107" s="359"/>
      <c r="C107" s="359"/>
      <c r="D107" s="359"/>
      <c r="E107" s="359"/>
      <c r="F107" s="359"/>
      <c r="G107" s="359"/>
      <c r="H107" s="359"/>
      <c r="I107" s="359"/>
      <c r="J107" s="359"/>
      <c r="K107" s="359"/>
    </row>
    <row r="131" spans="2:11" ht="15.95" customHeight="1" x14ac:dyDescent="0.2">
      <c r="B131" s="359" t="s">
        <v>713</v>
      </c>
      <c r="C131" s="359"/>
      <c r="D131" s="359"/>
      <c r="E131" s="359"/>
      <c r="F131" s="359"/>
      <c r="G131" s="359"/>
      <c r="H131" s="359"/>
      <c r="I131" s="359"/>
      <c r="J131" s="359"/>
      <c r="K131" s="359"/>
    </row>
    <row r="132" spans="2:11" x14ac:dyDescent="0.2">
      <c r="B132" s="359"/>
      <c r="C132" s="359"/>
      <c r="D132" s="359"/>
      <c r="E132" s="359"/>
      <c r="F132" s="359"/>
      <c r="G132" s="359"/>
      <c r="H132" s="359"/>
      <c r="I132" s="359"/>
      <c r="J132" s="359"/>
      <c r="K132" s="359"/>
    </row>
    <row r="133" spans="2:11" x14ac:dyDescent="0.2">
      <c r="B133" s="359"/>
      <c r="C133" s="359"/>
      <c r="D133" s="359"/>
      <c r="E133" s="359"/>
      <c r="F133" s="359"/>
      <c r="G133" s="359"/>
      <c r="H133" s="359"/>
      <c r="I133" s="359"/>
      <c r="J133" s="359"/>
      <c r="K133" s="359"/>
    </row>
    <row r="134" spans="2:11" x14ac:dyDescent="0.2">
      <c r="B134" s="359"/>
      <c r="C134" s="359"/>
      <c r="D134" s="359"/>
      <c r="E134" s="359"/>
      <c r="F134" s="359"/>
      <c r="G134" s="359"/>
      <c r="H134" s="359"/>
      <c r="I134" s="359"/>
      <c r="J134" s="359"/>
      <c r="K134" s="359"/>
    </row>
    <row r="135" spans="2:11" x14ac:dyDescent="0.2">
      <c r="B135" s="359"/>
      <c r="C135" s="359"/>
      <c r="D135" s="359"/>
      <c r="E135" s="359"/>
      <c r="F135" s="359"/>
      <c r="G135" s="359"/>
      <c r="H135" s="359"/>
      <c r="I135" s="359"/>
      <c r="J135" s="359"/>
      <c r="K135" s="359"/>
    </row>
    <row r="136" spans="2:11" x14ac:dyDescent="0.2">
      <c r="B136" s="359"/>
      <c r="C136" s="359"/>
      <c r="D136" s="359"/>
      <c r="E136" s="359"/>
      <c r="F136" s="359"/>
      <c r="G136" s="359"/>
      <c r="H136" s="359"/>
      <c r="I136" s="359"/>
      <c r="J136" s="359"/>
      <c r="K136" s="359"/>
    </row>
    <row r="138" spans="2:11" ht="15.95" customHeight="1" x14ac:dyDescent="0.2">
      <c r="B138" s="359" t="s">
        <v>714</v>
      </c>
      <c r="C138" s="359"/>
      <c r="D138" s="359"/>
      <c r="E138" s="359"/>
      <c r="F138" s="359"/>
      <c r="G138" s="359"/>
      <c r="H138" s="359"/>
      <c r="I138" s="359"/>
      <c r="J138" s="359"/>
      <c r="K138" s="359"/>
    </row>
    <row r="139" spans="2:11" x14ac:dyDescent="0.2">
      <c r="B139" s="359"/>
      <c r="C139" s="359"/>
      <c r="D139" s="359"/>
      <c r="E139" s="359"/>
      <c r="F139" s="359"/>
      <c r="G139" s="359"/>
      <c r="H139" s="359"/>
      <c r="I139" s="359"/>
      <c r="J139" s="359"/>
      <c r="K139" s="359"/>
    </row>
    <row r="140" spans="2:11" x14ac:dyDescent="0.2">
      <c r="B140" s="359"/>
      <c r="C140" s="359"/>
      <c r="D140" s="359"/>
      <c r="E140" s="359"/>
      <c r="F140" s="359"/>
      <c r="G140" s="359"/>
      <c r="H140" s="359"/>
      <c r="I140" s="359"/>
      <c r="J140" s="359"/>
      <c r="K140" s="359"/>
    </row>
    <row r="141" spans="2:11" x14ac:dyDescent="0.2">
      <c r="B141" s="359"/>
      <c r="C141" s="359"/>
      <c r="D141" s="359"/>
      <c r="E141" s="359"/>
      <c r="F141" s="359"/>
      <c r="G141" s="359"/>
      <c r="H141" s="359"/>
      <c r="I141" s="359"/>
      <c r="J141" s="359"/>
      <c r="K141" s="359"/>
    </row>
    <row r="142" spans="2:11" x14ac:dyDescent="0.2">
      <c r="B142" s="359"/>
      <c r="C142" s="359"/>
      <c r="D142" s="359"/>
      <c r="E142" s="359"/>
      <c r="F142" s="359"/>
      <c r="G142" s="359"/>
      <c r="H142" s="359"/>
      <c r="I142" s="359"/>
      <c r="J142" s="359"/>
      <c r="K142" s="359"/>
    </row>
    <row r="143" spans="2:11" x14ac:dyDescent="0.2">
      <c r="B143" s="359"/>
      <c r="C143" s="359"/>
      <c r="D143" s="359"/>
      <c r="E143" s="359"/>
      <c r="F143" s="359"/>
      <c r="G143" s="359"/>
      <c r="H143" s="359"/>
      <c r="I143" s="359"/>
      <c r="J143" s="359"/>
      <c r="K143" s="359"/>
    </row>
    <row r="144" spans="2:11" x14ac:dyDescent="0.2">
      <c r="B144" s="359"/>
      <c r="C144" s="359"/>
      <c r="D144" s="359"/>
      <c r="E144" s="359"/>
      <c r="F144" s="359"/>
      <c r="G144" s="359"/>
      <c r="H144" s="359"/>
      <c r="I144" s="359"/>
      <c r="J144" s="359"/>
      <c r="K144" s="359"/>
    </row>
    <row r="145" spans="2:11" x14ac:dyDescent="0.2">
      <c r="B145" s="359"/>
      <c r="C145" s="359"/>
      <c r="D145" s="359"/>
      <c r="E145" s="359"/>
      <c r="F145" s="359"/>
      <c r="G145" s="359"/>
      <c r="H145" s="359"/>
      <c r="I145" s="359"/>
      <c r="J145" s="359"/>
      <c r="K145" s="359"/>
    </row>
    <row r="146" spans="2:11" x14ac:dyDescent="0.2">
      <c r="B146" s="359"/>
      <c r="C146" s="359"/>
      <c r="D146" s="359"/>
      <c r="E146" s="359"/>
      <c r="F146" s="359"/>
      <c r="G146" s="359"/>
      <c r="H146" s="359"/>
      <c r="I146" s="359"/>
      <c r="J146" s="359"/>
      <c r="K146" s="359"/>
    </row>
    <row r="147" spans="2:11" x14ac:dyDescent="0.2">
      <c r="B147" s="359"/>
      <c r="C147" s="359"/>
      <c r="D147" s="359"/>
      <c r="E147" s="359"/>
      <c r="F147" s="359"/>
      <c r="G147" s="359"/>
      <c r="H147" s="359"/>
      <c r="I147" s="359"/>
      <c r="J147" s="359"/>
      <c r="K147" s="359"/>
    </row>
    <row r="148" spans="2:11" x14ac:dyDescent="0.2">
      <c r="B148" s="359"/>
      <c r="C148" s="359"/>
      <c r="D148" s="359"/>
      <c r="E148" s="359"/>
      <c r="F148" s="359"/>
      <c r="G148" s="359"/>
      <c r="H148" s="359"/>
      <c r="I148" s="359"/>
      <c r="J148" s="359"/>
      <c r="K148" s="359"/>
    </row>
    <row r="149" spans="2:11" x14ac:dyDescent="0.2">
      <c r="B149" s="359"/>
      <c r="C149" s="359"/>
      <c r="D149" s="359"/>
      <c r="E149" s="359"/>
      <c r="F149" s="359"/>
      <c r="G149" s="359"/>
      <c r="H149" s="359"/>
      <c r="I149" s="359"/>
      <c r="J149" s="359"/>
      <c r="K149" s="359"/>
    </row>
    <row r="150" spans="2:11" x14ac:dyDescent="0.2">
      <c r="B150" s="359"/>
      <c r="C150" s="359"/>
      <c r="D150" s="359"/>
      <c r="E150" s="359"/>
      <c r="F150" s="359"/>
      <c r="G150" s="359"/>
      <c r="H150" s="359"/>
      <c r="I150" s="359"/>
      <c r="J150" s="359"/>
      <c r="K150" s="359"/>
    </row>
    <row r="151" spans="2:11" x14ac:dyDescent="0.2">
      <c r="B151" s="359"/>
      <c r="C151" s="359"/>
      <c r="D151" s="359"/>
      <c r="E151" s="359"/>
      <c r="F151" s="359"/>
      <c r="G151" s="359"/>
      <c r="H151" s="359"/>
      <c r="I151" s="359"/>
      <c r="J151" s="359"/>
      <c r="K151" s="359"/>
    </row>
    <row r="152" spans="2:11" x14ac:dyDescent="0.2">
      <c r="B152" s="290"/>
      <c r="C152" s="290"/>
      <c r="D152" s="290"/>
      <c r="E152" s="290"/>
      <c r="F152" s="290"/>
      <c r="G152" s="290"/>
      <c r="H152" s="290"/>
      <c r="I152" s="290"/>
      <c r="J152" s="290"/>
      <c r="K152" s="290"/>
    </row>
    <row r="153" spans="2:11" x14ac:dyDescent="0.2">
      <c r="B153" s="290"/>
      <c r="C153" s="290"/>
      <c r="D153" s="290"/>
      <c r="E153" s="290"/>
      <c r="F153" s="290"/>
      <c r="G153" s="290"/>
      <c r="H153" s="290"/>
      <c r="I153" s="290"/>
      <c r="J153" s="290"/>
      <c r="K153" s="290"/>
    </row>
    <row r="154" spans="2:11" x14ac:dyDescent="0.2">
      <c r="B154" s="290"/>
      <c r="C154" s="290"/>
      <c r="D154" s="290"/>
      <c r="E154" s="290"/>
      <c r="F154" s="290"/>
      <c r="G154" s="290"/>
      <c r="H154" s="290"/>
      <c r="I154" s="290"/>
      <c r="J154" s="290"/>
      <c r="K154" s="290"/>
    </row>
    <row r="155" spans="2:11" x14ac:dyDescent="0.2">
      <c r="B155" s="290"/>
      <c r="C155" s="290"/>
      <c r="D155" s="290"/>
      <c r="E155" s="290"/>
      <c r="F155" s="290"/>
      <c r="G155" s="290"/>
      <c r="H155" s="290"/>
      <c r="I155" s="290"/>
      <c r="J155" s="290"/>
      <c r="K155" s="290"/>
    </row>
    <row r="156" spans="2:11" x14ac:dyDescent="0.2">
      <c r="B156" s="290"/>
      <c r="C156" s="290"/>
      <c r="D156" s="290"/>
      <c r="E156" s="290"/>
      <c r="F156" s="290"/>
      <c r="G156" s="290"/>
      <c r="H156" s="290"/>
      <c r="I156" s="290"/>
      <c r="J156" s="290"/>
      <c r="K156" s="290"/>
    </row>
  </sheetData>
  <sheetProtection algorithmName="SHA-512" hashValue="/klJvnQpYO8R3sSrRJ4VOR89EiyHDuMGtdJZJMsTqga23VSq8vkAxslcSdO/reBG/MuS2ifx0LWbHQfaX2S13g==" saltValue="agAzzaENx1glwH4DC6X0pw==" spinCount="100000"/>
  <mergeCells count="10">
    <mergeCell ref="B131:K136"/>
    <mergeCell ref="B138:K151"/>
    <mergeCell ref="B60:K70"/>
    <mergeCell ref="B6:K6"/>
    <mergeCell ref="B8:K14"/>
    <mergeCell ref="B16:K16"/>
    <mergeCell ref="B21:K47"/>
    <mergeCell ref="B87:K107"/>
    <mergeCell ref="B17:K19"/>
    <mergeCell ref="I20:K20"/>
  </mergeCells>
  <hyperlinks>
    <hyperlink ref="B1" location="Inicio!A1" display="Inicio" xr:uid="{0B9D470B-7EEC-114F-BA14-501A861096D0}"/>
    <hyperlink ref="K85" location="'Modelo de Madurez'!A1" display="Modelo de madurez" xr:uid="{A4074BC0-A4D5-EC4A-AFDA-C59EF5E5D7D0}"/>
    <hyperlink ref="I20:K20" location="'Modelo de Madurez'!A1" display="Ver modelo de madurez" xr:uid="{2EDAC1AB-823A-BD49-B2D9-0A80D6924B03}"/>
  </hyperlinks>
  <pageMargins left="0.7" right="0.7" top="0.75" bottom="0.75" header="0.3" footer="0.3"/>
  <pageSetup scale="65" orientation="portrait" horizontalDpi="1200" verticalDpi="1200" r:id="rId1"/>
  <rowBreaks count="2" manualBreakCount="2">
    <brk id="68" min="1" max="10" man="1"/>
    <brk id="136" min="1"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AC04B-8609-2043-9080-73E257B6C8AD}">
  <sheetPr codeName="Hoja15"/>
  <dimension ref="B1:K162"/>
  <sheetViews>
    <sheetView showGridLines="0" view="pageBreakPreview" zoomScale="125" zoomScaleNormal="111" zoomScaleSheetLayoutView="125" workbookViewId="0"/>
  </sheetViews>
  <sheetFormatPr baseColWidth="10" defaultColWidth="10.875" defaultRowHeight="15" x14ac:dyDescent="0.2"/>
  <cols>
    <col min="1" max="1" width="10.875" style="289"/>
    <col min="2" max="2" width="10.875" style="289" customWidth="1"/>
    <col min="3" max="11" width="10.875" style="289"/>
    <col min="12" max="12" width="10.5" style="289" customWidth="1"/>
    <col min="13" max="16384" width="10.875" style="289"/>
  </cols>
  <sheetData>
    <row r="1" spans="2:11" ht="15.75" x14ac:dyDescent="0.25">
      <c r="B1" s="273" t="s">
        <v>52</v>
      </c>
    </row>
    <row r="7" spans="2:11" ht="27.75" x14ac:dyDescent="0.4">
      <c r="B7" s="363" t="s">
        <v>715</v>
      </c>
      <c r="C7" s="363"/>
      <c r="D7" s="363"/>
      <c r="E7" s="363"/>
      <c r="F7" s="363"/>
      <c r="G7" s="363"/>
      <c r="H7" s="363"/>
      <c r="I7" s="363"/>
      <c r="J7" s="363"/>
      <c r="K7" s="363"/>
    </row>
    <row r="9" spans="2:11" s="290" customFormat="1" ht="15.95" customHeight="1" x14ac:dyDescent="0.25">
      <c r="B9" s="359" t="s">
        <v>716</v>
      </c>
      <c r="C9" s="359"/>
      <c r="D9" s="359"/>
      <c r="E9" s="359"/>
      <c r="F9" s="359"/>
      <c r="G9" s="359"/>
      <c r="H9" s="359"/>
      <c r="I9" s="359"/>
      <c r="J9" s="359"/>
      <c r="K9" s="359"/>
    </row>
    <row r="10" spans="2:11" s="290" customFormat="1" x14ac:dyDescent="0.25">
      <c r="B10" s="359"/>
      <c r="C10" s="359"/>
      <c r="D10" s="359"/>
      <c r="E10" s="359"/>
      <c r="F10" s="359"/>
      <c r="G10" s="359"/>
      <c r="H10" s="359"/>
      <c r="I10" s="359"/>
      <c r="J10" s="359"/>
      <c r="K10" s="359"/>
    </row>
    <row r="11" spans="2:11" s="290" customFormat="1" x14ac:dyDescent="0.25">
      <c r="B11" s="359"/>
      <c r="C11" s="359"/>
      <c r="D11" s="359"/>
      <c r="E11" s="359"/>
      <c r="F11" s="359"/>
      <c r="G11" s="359"/>
      <c r="H11" s="359"/>
      <c r="I11" s="359"/>
      <c r="J11" s="359"/>
      <c r="K11" s="359"/>
    </row>
    <row r="12" spans="2:11" s="290" customFormat="1" x14ac:dyDescent="0.25">
      <c r="B12" s="359"/>
      <c r="C12" s="359"/>
      <c r="D12" s="359"/>
      <c r="E12" s="359"/>
      <c r="F12" s="359"/>
      <c r="G12" s="359"/>
      <c r="H12" s="359"/>
      <c r="I12" s="359"/>
      <c r="J12" s="359"/>
      <c r="K12" s="359"/>
    </row>
    <row r="13" spans="2:11" s="290" customFormat="1" x14ac:dyDescent="0.25">
      <c r="B13" s="359"/>
      <c r="C13" s="359"/>
      <c r="D13" s="359"/>
      <c r="E13" s="359"/>
      <c r="F13" s="359"/>
      <c r="G13" s="359"/>
      <c r="H13" s="359"/>
      <c r="I13" s="359"/>
      <c r="J13" s="359"/>
      <c r="K13" s="359"/>
    </row>
    <row r="14" spans="2:11" s="290" customFormat="1" x14ac:dyDescent="0.25">
      <c r="B14" s="359"/>
      <c r="C14" s="359"/>
      <c r="D14" s="359"/>
      <c r="E14" s="359"/>
      <c r="F14" s="359"/>
      <c r="G14" s="359"/>
      <c r="H14" s="359"/>
      <c r="I14" s="359"/>
      <c r="J14" s="359"/>
      <c r="K14" s="359"/>
    </row>
    <row r="15" spans="2:11" s="290" customFormat="1" x14ac:dyDescent="0.25">
      <c r="B15" s="359"/>
      <c r="C15" s="359"/>
      <c r="D15" s="359"/>
      <c r="E15" s="359"/>
      <c r="F15" s="359"/>
      <c r="G15" s="359"/>
      <c r="H15" s="359"/>
      <c r="I15" s="359"/>
      <c r="J15" s="359"/>
      <c r="K15" s="359"/>
    </row>
    <row r="16" spans="2:11" s="290" customFormat="1" x14ac:dyDescent="0.25">
      <c r="B16" s="359"/>
      <c r="C16" s="359"/>
      <c r="D16" s="359"/>
      <c r="E16" s="359"/>
      <c r="F16" s="359"/>
      <c r="G16" s="359"/>
      <c r="H16" s="359"/>
      <c r="I16" s="359"/>
      <c r="J16" s="359"/>
      <c r="K16" s="359"/>
    </row>
    <row r="17" spans="2:11" s="290" customFormat="1" x14ac:dyDescent="0.25">
      <c r="B17" s="359"/>
      <c r="C17" s="359"/>
      <c r="D17" s="359"/>
      <c r="E17" s="359"/>
      <c r="F17" s="359"/>
      <c r="G17" s="359"/>
      <c r="H17" s="359"/>
      <c r="I17" s="359"/>
      <c r="J17" s="359"/>
      <c r="K17" s="359"/>
    </row>
    <row r="18" spans="2:11" s="290" customFormat="1" x14ac:dyDescent="0.25">
      <c r="B18" s="359"/>
      <c r="C18" s="359"/>
      <c r="D18" s="359"/>
      <c r="E18" s="359"/>
      <c r="F18" s="359"/>
      <c r="G18" s="359"/>
      <c r="H18" s="359"/>
      <c r="I18" s="359"/>
      <c r="J18" s="359"/>
      <c r="K18" s="359"/>
    </row>
    <row r="19" spans="2:11" s="290" customFormat="1" x14ac:dyDescent="0.25">
      <c r="B19" s="359"/>
      <c r="C19" s="359"/>
      <c r="D19" s="359"/>
      <c r="E19" s="359"/>
      <c r="F19" s="359"/>
      <c r="G19" s="359"/>
      <c r="H19" s="359"/>
      <c r="I19" s="359"/>
      <c r="J19" s="359"/>
      <c r="K19" s="359"/>
    </row>
    <row r="20" spans="2:11" s="290" customFormat="1" x14ac:dyDescent="0.25">
      <c r="B20" s="359"/>
      <c r="C20" s="359"/>
      <c r="D20" s="359"/>
      <c r="E20" s="359"/>
      <c r="F20" s="359"/>
      <c r="G20" s="359"/>
      <c r="H20" s="359"/>
      <c r="I20" s="359"/>
      <c r="J20" s="359"/>
      <c r="K20" s="359"/>
    </row>
    <row r="21" spans="2:11" s="290" customFormat="1" x14ac:dyDescent="0.25">
      <c r="B21" s="359"/>
      <c r="C21" s="359"/>
      <c r="D21" s="359"/>
      <c r="E21" s="359"/>
      <c r="F21" s="359"/>
      <c r="G21" s="359"/>
      <c r="H21" s="359"/>
      <c r="I21" s="359"/>
      <c r="J21" s="359"/>
      <c r="K21" s="359"/>
    </row>
    <row r="22" spans="2:11" s="290" customFormat="1" x14ac:dyDescent="0.25">
      <c r="B22" s="337"/>
      <c r="C22" s="337"/>
      <c r="D22" s="337"/>
      <c r="E22" s="337"/>
      <c r="F22" s="337"/>
      <c r="G22" s="337"/>
      <c r="H22" s="337"/>
      <c r="I22" s="337"/>
      <c r="J22" s="337"/>
      <c r="K22" s="337"/>
    </row>
    <row r="23" spans="2:11" s="290" customFormat="1" ht="30" customHeight="1" x14ac:dyDescent="0.25">
      <c r="B23" s="362" t="s">
        <v>698</v>
      </c>
      <c r="C23" s="362"/>
      <c r="D23" s="362"/>
      <c r="E23" s="362"/>
      <c r="F23" s="362"/>
      <c r="G23" s="362"/>
      <c r="H23" s="362"/>
      <c r="I23" s="362"/>
      <c r="J23" s="362"/>
      <c r="K23" s="362"/>
    </row>
    <row r="24" spans="2:11" s="290" customFormat="1" ht="20.100000000000001" customHeight="1" x14ac:dyDescent="0.25">
      <c r="B24" s="360" t="s">
        <v>709</v>
      </c>
      <c r="C24" s="360"/>
      <c r="D24" s="360"/>
      <c r="E24" s="360"/>
      <c r="F24" s="360"/>
      <c r="G24" s="360"/>
      <c r="H24" s="360"/>
      <c r="I24" s="360"/>
      <c r="J24" s="360"/>
      <c r="K24" s="360"/>
    </row>
    <row r="25" spans="2:11" s="290" customFormat="1" ht="20.100000000000001" customHeight="1" x14ac:dyDescent="0.25">
      <c r="B25" s="360"/>
      <c r="C25" s="360"/>
      <c r="D25" s="360"/>
      <c r="E25" s="360"/>
      <c r="F25" s="360"/>
      <c r="G25" s="360"/>
      <c r="H25" s="360"/>
      <c r="I25" s="360"/>
      <c r="J25" s="360"/>
      <c r="K25" s="360"/>
    </row>
    <row r="26" spans="2:11" s="290" customFormat="1" ht="20.100000000000001" customHeight="1" x14ac:dyDescent="0.25">
      <c r="B26" s="360"/>
      <c r="C26" s="360"/>
      <c r="D26" s="360"/>
      <c r="E26" s="360"/>
      <c r="F26" s="360"/>
      <c r="G26" s="360"/>
      <c r="H26" s="360"/>
      <c r="I26" s="360"/>
      <c r="J26" s="360"/>
      <c r="K26" s="360"/>
    </row>
    <row r="27" spans="2:11" s="290" customFormat="1" ht="20.100000000000001" customHeight="1" x14ac:dyDescent="0.25">
      <c r="B27" s="291"/>
      <c r="C27" s="291"/>
      <c r="D27" s="291"/>
      <c r="E27" s="291"/>
      <c r="F27" s="291"/>
      <c r="G27" s="291"/>
      <c r="H27" s="291"/>
      <c r="I27" s="361" t="s">
        <v>700</v>
      </c>
      <c r="J27" s="361"/>
      <c r="K27" s="361"/>
    </row>
    <row r="28" spans="2:11" s="290" customFormat="1" ht="20.25" x14ac:dyDescent="0.25">
      <c r="B28" s="291"/>
      <c r="C28" s="291"/>
      <c r="D28" s="291"/>
      <c r="E28" s="291"/>
      <c r="F28" s="291"/>
      <c r="G28" s="291"/>
      <c r="H28" s="291"/>
      <c r="I28" s="291"/>
      <c r="J28" s="291"/>
      <c r="K28" s="291"/>
    </row>
    <row r="29" spans="2:11" ht="15.95" customHeight="1" x14ac:dyDescent="0.2">
      <c r="B29" s="359" t="s">
        <v>717</v>
      </c>
      <c r="C29" s="359"/>
      <c r="D29" s="359"/>
      <c r="E29" s="359"/>
      <c r="F29" s="359"/>
      <c r="G29" s="359"/>
      <c r="H29" s="359"/>
      <c r="I29" s="359"/>
      <c r="J29" s="359"/>
      <c r="K29" s="359"/>
    </row>
    <row r="30" spans="2:11" x14ac:dyDescent="0.2">
      <c r="B30" s="359"/>
      <c r="C30" s="359"/>
      <c r="D30" s="359"/>
      <c r="E30" s="359"/>
      <c r="F30" s="359"/>
      <c r="G30" s="359"/>
      <c r="H30" s="359"/>
      <c r="I30" s="359"/>
      <c r="J30" s="359"/>
      <c r="K30" s="359"/>
    </row>
    <row r="31" spans="2:11" x14ac:dyDescent="0.2">
      <c r="B31" s="359"/>
      <c r="C31" s="359"/>
      <c r="D31" s="359"/>
      <c r="E31" s="359"/>
      <c r="F31" s="359"/>
      <c r="G31" s="359"/>
      <c r="H31" s="359"/>
      <c r="I31" s="359"/>
      <c r="J31" s="359"/>
      <c r="K31" s="359"/>
    </row>
    <row r="32" spans="2:11" x14ac:dyDescent="0.2">
      <c r="B32" s="359"/>
      <c r="C32" s="359"/>
      <c r="D32" s="359"/>
      <c r="E32" s="359"/>
      <c r="F32" s="359"/>
      <c r="G32" s="359"/>
      <c r="H32" s="359"/>
      <c r="I32" s="359"/>
      <c r="J32" s="359"/>
      <c r="K32" s="359"/>
    </row>
    <row r="33" spans="2:11" x14ac:dyDescent="0.2">
      <c r="B33" s="359"/>
      <c r="C33" s="359"/>
      <c r="D33" s="359"/>
      <c r="E33" s="359"/>
      <c r="F33" s="359"/>
      <c r="G33" s="359"/>
      <c r="H33" s="359"/>
      <c r="I33" s="359"/>
      <c r="J33" s="359"/>
      <c r="K33" s="359"/>
    </row>
    <row r="34" spans="2:11" x14ac:dyDescent="0.2">
      <c r="B34" s="359"/>
      <c r="C34" s="359"/>
      <c r="D34" s="359"/>
      <c r="E34" s="359"/>
      <c r="F34" s="359"/>
      <c r="G34" s="359"/>
      <c r="H34" s="359"/>
      <c r="I34" s="359"/>
      <c r="J34" s="359"/>
      <c r="K34" s="359"/>
    </row>
    <row r="35" spans="2:11" x14ac:dyDescent="0.2">
      <c r="B35" s="359"/>
      <c r="C35" s="359"/>
      <c r="D35" s="359"/>
      <c r="E35" s="359"/>
      <c r="F35" s="359"/>
      <c r="G35" s="359"/>
      <c r="H35" s="359"/>
      <c r="I35" s="359"/>
      <c r="J35" s="359"/>
      <c r="K35" s="359"/>
    </row>
    <row r="36" spans="2:11" x14ac:dyDescent="0.2">
      <c r="B36" s="359"/>
      <c r="C36" s="359"/>
      <c r="D36" s="359"/>
      <c r="E36" s="359"/>
      <c r="F36" s="359"/>
      <c r="G36" s="359"/>
      <c r="H36" s="359"/>
      <c r="I36" s="359"/>
      <c r="J36" s="359"/>
      <c r="K36" s="359"/>
    </row>
    <row r="37" spans="2:11" x14ac:dyDescent="0.2">
      <c r="B37" s="359"/>
      <c r="C37" s="359"/>
      <c r="D37" s="359"/>
      <c r="E37" s="359"/>
      <c r="F37" s="359"/>
      <c r="G37" s="359"/>
      <c r="H37" s="359"/>
      <c r="I37" s="359"/>
      <c r="J37" s="359"/>
      <c r="K37" s="359"/>
    </row>
    <row r="38" spans="2:11" x14ac:dyDescent="0.2">
      <c r="B38" s="359"/>
      <c r="C38" s="359"/>
      <c r="D38" s="359"/>
      <c r="E38" s="359"/>
      <c r="F38" s="359"/>
      <c r="G38" s="359"/>
      <c r="H38" s="359"/>
      <c r="I38" s="359"/>
      <c r="J38" s="359"/>
      <c r="K38" s="359"/>
    </row>
    <row r="39" spans="2:11" x14ac:dyDescent="0.2">
      <c r="B39" s="359"/>
      <c r="C39" s="359"/>
      <c r="D39" s="359"/>
      <c r="E39" s="359"/>
      <c r="F39" s="359"/>
      <c r="G39" s="359"/>
      <c r="H39" s="359"/>
      <c r="I39" s="359"/>
      <c r="J39" s="359"/>
      <c r="K39" s="359"/>
    </row>
    <row r="40" spans="2:11" x14ac:dyDescent="0.2">
      <c r="B40" s="359"/>
      <c r="C40" s="359"/>
      <c r="D40" s="359"/>
      <c r="E40" s="359"/>
      <c r="F40" s="359"/>
      <c r="G40" s="359"/>
      <c r="H40" s="359"/>
      <c r="I40" s="359"/>
      <c r="J40" s="359"/>
      <c r="K40" s="359"/>
    </row>
    <row r="41" spans="2:11" x14ac:dyDescent="0.2">
      <c r="B41" s="359"/>
      <c r="C41" s="359"/>
      <c r="D41" s="359"/>
      <c r="E41" s="359"/>
      <c r="F41" s="359"/>
      <c r="G41" s="359"/>
      <c r="H41" s="359"/>
      <c r="I41" s="359"/>
      <c r="J41" s="359"/>
      <c r="K41" s="359"/>
    </row>
    <row r="42" spans="2:11" x14ac:dyDescent="0.2">
      <c r="B42" s="359"/>
      <c r="C42" s="359"/>
      <c r="D42" s="359"/>
      <c r="E42" s="359"/>
      <c r="F42" s="359"/>
      <c r="G42" s="359"/>
      <c r="H42" s="359"/>
      <c r="I42" s="359"/>
      <c r="J42" s="359"/>
      <c r="K42" s="359"/>
    </row>
    <row r="43" spans="2:11" x14ac:dyDescent="0.2">
      <c r="B43" s="359"/>
      <c r="C43" s="359"/>
      <c r="D43" s="359"/>
      <c r="E43" s="359"/>
      <c r="F43" s="359"/>
      <c r="G43" s="359"/>
      <c r="H43" s="359"/>
      <c r="I43" s="359"/>
      <c r="J43" s="359"/>
      <c r="K43" s="359"/>
    </row>
    <row r="44" spans="2:11" ht="17.100000000000001" customHeight="1" x14ac:dyDescent="0.2">
      <c r="B44" s="359"/>
      <c r="C44" s="359"/>
      <c r="D44" s="359"/>
      <c r="E44" s="359"/>
      <c r="F44" s="359"/>
      <c r="G44" s="359"/>
      <c r="H44" s="359"/>
      <c r="I44" s="359"/>
      <c r="J44" s="359"/>
      <c r="K44" s="359"/>
    </row>
    <row r="45" spans="2:11" x14ac:dyDescent="0.2">
      <c r="B45" s="359"/>
      <c r="C45" s="359"/>
      <c r="D45" s="359"/>
      <c r="E45" s="359"/>
      <c r="F45" s="359"/>
      <c r="G45" s="359"/>
      <c r="H45" s="359"/>
      <c r="I45" s="359"/>
      <c r="J45" s="359"/>
      <c r="K45" s="359"/>
    </row>
    <row r="46" spans="2:11" x14ac:dyDescent="0.2">
      <c r="B46" s="359"/>
      <c r="C46" s="359"/>
      <c r="D46" s="359"/>
      <c r="E46" s="359"/>
      <c r="F46" s="359"/>
      <c r="G46" s="359"/>
      <c r="H46" s="359"/>
      <c r="I46" s="359"/>
      <c r="J46" s="359"/>
      <c r="K46" s="359"/>
    </row>
    <row r="47" spans="2:11" x14ac:dyDescent="0.2">
      <c r="B47" s="359"/>
      <c r="C47" s="359"/>
      <c r="D47" s="359"/>
      <c r="E47" s="359"/>
      <c r="F47" s="359"/>
      <c r="G47" s="359"/>
      <c r="H47" s="359"/>
      <c r="I47" s="359"/>
      <c r="J47" s="359"/>
      <c r="K47" s="359"/>
    </row>
    <row r="48" spans="2:11" x14ac:dyDescent="0.2">
      <c r="B48" s="359"/>
      <c r="C48" s="359"/>
      <c r="D48" s="359"/>
      <c r="E48" s="359"/>
      <c r="F48" s="359"/>
      <c r="G48" s="359"/>
      <c r="H48" s="359"/>
      <c r="I48" s="359"/>
      <c r="J48" s="359"/>
      <c r="K48" s="359"/>
    </row>
    <row r="49" spans="2:11" x14ac:dyDescent="0.2">
      <c r="B49" s="359"/>
      <c r="C49" s="359"/>
      <c r="D49" s="359"/>
      <c r="E49" s="359"/>
      <c r="F49" s="359"/>
      <c r="G49" s="359"/>
      <c r="H49" s="359"/>
      <c r="I49" s="359"/>
      <c r="J49" s="359"/>
      <c r="K49" s="359"/>
    </row>
    <row r="50" spans="2:11" x14ac:dyDescent="0.2">
      <c r="B50" s="359"/>
      <c r="C50" s="359"/>
      <c r="D50" s="359"/>
      <c r="E50" s="359"/>
      <c r="F50" s="359"/>
      <c r="G50" s="359"/>
      <c r="H50" s="359"/>
      <c r="I50" s="359"/>
      <c r="J50" s="359"/>
      <c r="K50" s="359"/>
    </row>
    <row r="51" spans="2:11" x14ac:dyDescent="0.2">
      <c r="B51" s="359"/>
      <c r="C51" s="359"/>
      <c r="D51" s="359"/>
      <c r="E51" s="359"/>
      <c r="F51" s="359"/>
      <c r="G51" s="359"/>
      <c r="H51" s="359"/>
      <c r="I51" s="359"/>
      <c r="J51" s="359"/>
      <c r="K51" s="359"/>
    </row>
    <row r="52" spans="2:11" x14ac:dyDescent="0.2">
      <c r="B52" s="359"/>
      <c r="C52" s="359"/>
      <c r="D52" s="359"/>
      <c r="E52" s="359"/>
      <c r="F52" s="359"/>
      <c r="G52" s="359"/>
      <c r="H52" s="359"/>
      <c r="I52" s="359"/>
      <c r="J52" s="359"/>
      <c r="K52" s="359"/>
    </row>
    <row r="53" spans="2:11" x14ac:dyDescent="0.2">
      <c r="B53" s="359"/>
      <c r="C53" s="359"/>
      <c r="D53" s="359"/>
      <c r="E53" s="359"/>
      <c r="F53" s="359"/>
      <c r="G53" s="359"/>
      <c r="H53" s="359"/>
      <c r="I53" s="359"/>
      <c r="J53" s="359"/>
      <c r="K53" s="359"/>
    </row>
    <row r="54" spans="2:11" x14ac:dyDescent="0.2">
      <c r="B54" s="359"/>
      <c r="C54" s="359"/>
      <c r="D54" s="359"/>
      <c r="E54" s="359"/>
      <c r="F54" s="359"/>
      <c r="G54" s="359"/>
      <c r="H54" s="359"/>
      <c r="I54" s="359"/>
      <c r="J54" s="359"/>
      <c r="K54" s="359"/>
    </row>
    <row r="55" spans="2:11" x14ac:dyDescent="0.2">
      <c r="B55" s="337"/>
      <c r="C55" s="337"/>
      <c r="D55" s="337"/>
      <c r="E55" s="337"/>
      <c r="F55" s="337"/>
      <c r="G55" s="337"/>
      <c r="H55" s="337"/>
      <c r="I55" s="337"/>
      <c r="J55" s="337"/>
      <c r="K55" s="337"/>
    </row>
    <row r="56" spans="2:11" x14ac:dyDescent="0.2">
      <c r="B56" s="337"/>
      <c r="C56" s="337"/>
      <c r="D56" s="337"/>
      <c r="E56" s="337"/>
      <c r="F56" s="337"/>
      <c r="G56" s="337"/>
      <c r="H56" s="337"/>
      <c r="I56" s="337"/>
      <c r="J56" s="337"/>
      <c r="K56" s="337"/>
    </row>
    <row r="57" spans="2:11" x14ac:dyDescent="0.2">
      <c r="B57" s="337"/>
      <c r="C57" s="337"/>
      <c r="D57" s="337"/>
      <c r="E57" s="337"/>
      <c r="F57" s="337"/>
      <c r="G57" s="337"/>
      <c r="H57" s="337"/>
      <c r="I57" s="337"/>
      <c r="J57" s="337"/>
      <c r="K57" s="337"/>
    </row>
    <row r="70" spans="2:11" ht="15.95" customHeight="1" x14ac:dyDescent="0.2">
      <c r="B70" s="360" t="s">
        <v>718</v>
      </c>
      <c r="C70" s="360"/>
      <c r="D70" s="360"/>
      <c r="E70" s="360"/>
      <c r="F70" s="360"/>
      <c r="G70" s="360"/>
      <c r="H70" s="360"/>
      <c r="I70" s="360"/>
      <c r="J70" s="360"/>
      <c r="K70" s="360"/>
    </row>
    <row r="71" spans="2:11" x14ac:dyDescent="0.2">
      <c r="B71" s="360"/>
      <c r="C71" s="360"/>
      <c r="D71" s="360"/>
      <c r="E71" s="360"/>
      <c r="F71" s="360"/>
      <c r="G71" s="360"/>
      <c r="H71" s="360"/>
      <c r="I71" s="360"/>
      <c r="J71" s="360"/>
      <c r="K71" s="360"/>
    </row>
    <row r="72" spans="2:11" x14ac:dyDescent="0.2">
      <c r="B72" s="360"/>
      <c r="C72" s="360"/>
      <c r="D72" s="360"/>
      <c r="E72" s="360"/>
      <c r="F72" s="360"/>
      <c r="G72" s="360"/>
      <c r="H72" s="360"/>
      <c r="I72" s="360"/>
      <c r="J72" s="360"/>
      <c r="K72" s="360"/>
    </row>
    <row r="73" spans="2:11" x14ac:dyDescent="0.2">
      <c r="B73" s="360"/>
      <c r="C73" s="360"/>
      <c r="D73" s="360"/>
      <c r="E73" s="360"/>
      <c r="F73" s="360"/>
      <c r="G73" s="360"/>
      <c r="H73" s="360"/>
      <c r="I73" s="360"/>
      <c r="J73" s="360"/>
      <c r="K73" s="360"/>
    </row>
    <row r="74" spans="2:11" x14ac:dyDescent="0.2">
      <c r="B74" s="360"/>
      <c r="C74" s="360"/>
      <c r="D74" s="360"/>
      <c r="E74" s="360"/>
      <c r="F74" s="360"/>
      <c r="G74" s="360"/>
      <c r="H74" s="360"/>
      <c r="I74" s="360"/>
      <c r="J74" s="360"/>
      <c r="K74" s="360"/>
    </row>
    <row r="75" spans="2:11" x14ac:dyDescent="0.2">
      <c r="B75" s="360"/>
      <c r="C75" s="360"/>
      <c r="D75" s="360"/>
      <c r="E75" s="360"/>
      <c r="F75" s="360"/>
      <c r="G75" s="360"/>
      <c r="H75" s="360"/>
      <c r="I75" s="360"/>
      <c r="J75" s="360"/>
      <c r="K75" s="360"/>
    </row>
    <row r="76" spans="2:11" x14ac:dyDescent="0.2">
      <c r="B76" s="360"/>
      <c r="C76" s="360"/>
      <c r="D76" s="360"/>
      <c r="E76" s="360"/>
      <c r="F76" s="360"/>
      <c r="G76" s="360"/>
      <c r="H76" s="360"/>
      <c r="I76" s="360"/>
      <c r="J76" s="360"/>
      <c r="K76" s="360"/>
    </row>
    <row r="77" spans="2:11" x14ac:dyDescent="0.2">
      <c r="B77" s="360"/>
      <c r="C77" s="360"/>
      <c r="D77" s="360"/>
      <c r="E77" s="360"/>
      <c r="F77" s="360"/>
      <c r="G77" s="360"/>
      <c r="H77" s="360"/>
      <c r="I77" s="360"/>
      <c r="J77" s="360"/>
      <c r="K77" s="360"/>
    </row>
    <row r="78" spans="2:11" x14ac:dyDescent="0.2">
      <c r="B78" s="360"/>
      <c r="C78" s="360"/>
      <c r="D78" s="360"/>
      <c r="E78" s="360"/>
      <c r="F78" s="360"/>
      <c r="G78" s="360"/>
      <c r="H78" s="360"/>
      <c r="I78" s="360"/>
      <c r="J78" s="360"/>
      <c r="K78" s="360"/>
    </row>
    <row r="79" spans="2:11" x14ac:dyDescent="0.2">
      <c r="B79" s="360"/>
      <c r="C79" s="360"/>
      <c r="D79" s="360"/>
      <c r="E79" s="360"/>
      <c r="F79" s="360"/>
      <c r="G79" s="360"/>
      <c r="H79" s="360"/>
      <c r="I79" s="360"/>
      <c r="J79" s="360"/>
      <c r="K79" s="360"/>
    </row>
    <row r="80" spans="2:11" x14ac:dyDescent="0.2">
      <c r="B80" s="360"/>
      <c r="C80" s="360"/>
      <c r="D80" s="360"/>
      <c r="E80" s="360"/>
      <c r="F80" s="360"/>
      <c r="G80" s="360"/>
      <c r="H80" s="360"/>
      <c r="I80" s="360"/>
      <c r="J80" s="360"/>
      <c r="K80" s="360"/>
    </row>
    <row r="81" spans="2:11" x14ac:dyDescent="0.2">
      <c r="B81" s="360"/>
      <c r="C81" s="360"/>
      <c r="D81" s="360"/>
      <c r="E81" s="360"/>
      <c r="F81" s="360"/>
      <c r="G81" s="360"/>
      <c r="H81" s="360"/>
      <c r="I81" s="360"/>
      <c r="J81" s="360"/>
      <c r="K81" s="360"/>
    </row>
    <row r="98" spans="2:11" ht="30" x14ac:dyDescent="0.25">
      <c r="B98" s="289" t="s">
        <v>703</v>
      </c>
      <c r="K98" s="342" t="s">
        <v>9</v>
      </c>
    </row>
    <row r="100" spans="2:11" ht="15.95" customHeight="1" x14ac:dyDescent="0.2">
      <c r="B100" s="359" t="s">
        <v>719</v>
      </c>
      <c r="C100" s="359"/>
      <c r="D100" s="359"/>
      <c r="E100" s="359"/>
      <c r="F100" s="359"/>
      <c r="G100" s="359"/>
      <c r="H100" s="359"/>
      <c r="I100" s="359"/>
      <c r="J100" s="359"/>
      <c r="K100" s="359"/>
    </row>
    <row r="101" spans="2:11" x14ac:dyDescent="0.2">
      <c r="B101" s="359"/>
      <c r="C101" s="359"/>
      <c r="D101" s="359"/>
      <c r="E101" s="359"/>
      <c r="F101" s="359"/>
      <c r="G101" s="359"/>
      <c r="H101" s="359"/>
      <c r="I101" s="359"/>
      <c r="J101" s="359"/>
      <c r="K101" s="359"/>
    </row>
    <row r="102" spans="2:11" x14ac:dyDescent="0.2">
      <c r="B102" s="359"/>
      <c r="C102" s="359"/>
      <c r="D102" s="359"/>
      <c r="E102" s="359"/>
      <c r="F102" s="359"/>
      <c r="G102" s="359"/>
      <c r="H102" s="359"/>
      <c r="I102" s="359"/>
      <c r="J102" s="359"/>
      <c r="K102" s="359"/>
    </row>
    <row r="103" spans="2:11" x14ac:dyDescent="0.2">
      <c r="B103" s="359"/>
      <c r="C103" s="359"/>
      <c r="D103" s="359"/>
      <c r="E103" s="359"/>
      <c r="F103" s="359"/>
      <c r="G103" s="359"/>
      <c r="H103" s="359"/>
      <c r="I103" s="359"/>
      <c r="J103" s="359"/>
      <c r="K103" s="359"/>
    </row>
    <row r="104" spans="2:11" x14ac:dyDescent="0.2">
      <c r="B104" s="359"/>
      <c r="C104" s="359"/>
      <c r="D104" s="359"/>
      <c r="E104" s="359"/>
      <c r="F104" s="359"/>
      <c r="G104" s="359"/>
      <c r="H104" s="359"/>
      <c r="I104" s="359"/>
      <c r="J104" s="359"/>
      <c r="K104" s="359"/>
    </row>
    <row r="105" spans="2:11" x14ac:dyDescent="0.2">
      <c r="B105" s="359"/>
      <c r="C105" s="359"/>
      <c r="D105" s="359"/>
      <c r="E105" s="359"/>
      <c r="F105" s="359"/>
      <c r="G105" s="359"/>
      <c r="H105" s="359"/>
      <c r="I105" s="359"/>
      <c r="J105" s="359"/>
      <c r="K105" s="359"/>
    </row>
    <row r="106" spans="2:11" x14ac:dyDescent="0.2">
      <c r="B106" s="359"/>
      <c r="C106" s="359"/>
      <c r="D106" s="359"/>
      <c r="E106" s="359"/>
      <c r="F106" s="359"/>
      <c r="G106" s="359"/>
      <c r="H106" s="359"/>
      <c r="I106" s="359"/>
      <c r="J106" s="359"/>
      <c r="K106" s="359"/>
    </row>
    <row r="107" spans="2:11" x14ac:dyDescent="0.2">
      <c r="B107" s="359"/>
      <c r="C107" s="359"/>
      <c r="D107" s="359"/>
      <c r="E107" s="359"/>
      <c r="F107" s="359"/>
      <c r="G107" s="359"/>
      <c r="H107" s="359"/>
      <c r="I107" s="359"/>
      <c r="J107" s="359"/>
      <c r="K107" s="359"/>
    </row>
    <row r="108" spans="2:11" x14ac:dyDescent="0.2">
      <c r="B108" s="359"/>
      <c r="C108" s="359"/>
      <c r="D108" s="359"/>
      <c r="E108" s="359"/>
      <c r="F108" s="359"/>
      <c r="G108" s="359"/>
      <c r="H108" s="359"/>
      <c r="I108" s="359"/>
      <c r="J108" s="359"/>
      <c r="K108" s="359"/>
    </row>
    <row r="109" spans="2:11" x14ac:dyDescent="0.2">
      <c r="B109" s="359"/>
      <c r="C109" s="359"/>
      <c r="D109" s="359"/>
      <c r="E109" s="359"/>
      <c r="F109" s="359"/>
      <c r="G109" s="359"/>
      <c r="H109" s="359"/>
      <c r="I109" s="359"/>
      <c r="J109" s="359"/>
      <c r="K109" s="359"/>
    </row>
    <row r="110" spans="2:11" x14ac:dyDescent="0.2">
      <c r="B110" s="359"/>
      <c r="C110" s="359"/>
      <c r="D110" s="359"/>
      <c r="E110" s="359"/>
      <c r="F110" s="359"/>
      <c r="G110" s="359"/>
      <c r="H110" s="359"/>
      <c r="I110" s="359"/>
      <c r="J110" s="359"/>
      <c r="K110" s="359"/>
    </row>
    <row r="111" spans="2:11" x14ac:dyDescent="0.2">
      <c r="B111" s="359"/>
      <c r="C111" s="359"/>
      <c r="D111" s="359"/>
      <c r="E111" s="359"/>
      <c r="F111" s="359"/>
      <c r="G111" s="359"/>
      <c r="H111" s="359"/>
      <c r="I111" s="359"/>
      <c r="J111" s="359"/>
      <c r="K111" s="359"/>
    </row>
    <row r="112" spans="2:11" x14ac:dyDescent="0.2">
      <c r="B112" s="359"/>
      <c r="C112" s="359"/>
      <c r="D112" s="359"/>
      <c r="E112" s="359"/>
      <c r="F112" s="359"/>
      <c r="G112" s="359"/>
      <c r="H112" s="359"/>
      <c r="I112" s="359"/>
      <c r="J112" s="359"/>
      <c r="K112" s="359"/>
    </row>
    <row r="113" spans="2:11" x14ac:dyDescent="0.2">
      <c r="B113" s="359"/>
      <c r="C113" s="359"/>
      <c r="D113" s="359"/>
      <c r="E113" s="359"/>
      <c r="F113" s="359"/>
      <c r="G113" s="359"/>
      <c r="H113" s="359"/>
      <c r="I113" s="359"/>
      <c r="J113" s="359"/>
      <c r="K113" s="359"/>
    </row>
    <row r="114" spans="2:11" x14ac:dyDescent="0.2">
      <c r="B114" s="359"/>
      <c r="C114" s="359"/>
      <c r="D114" s="359"/>
      <c r="E114" s="359"/>
      <c r="F114" s="359"/>
      <c r="G114" s="359"/>
      <c r="H114" s="359"/>
      <c r="I114" s="359"/>
      <c r="J114" s="359"/>
      <c r="K114" s="359"/>
    </row>
    <row r="115" spans="2:11" x14ac:dyDescent="0.2">
      <c r="B115" s="359"/>
      <c r="C115" s="359"/>
      <c r="D115" s="359"/>
      <c r="E115" s="359"/>
      <c r="F115" s="359"/>
      <c r="G115" s="359"/>
      <c r="H115" s="359"/>
      <c r="I115" s="359"/>
      <c r="J115" s="359"/>
      <c r="K115" s="359"/>
    </row>
    <row r="116" spans="2:11" x14ac:dyDescent="0.2">
      <c r="B116" s="359"/>
      <c r="C116" s="359"/>
      <c r="D116" s="359"/>
      <c r="E116" s="359"/>
      <c r="F116" s="359"/>
      <c r="G116" s="359"/>
      <c r="H116" s="359"/>
      <c r="I116" s="359"/>
      <c r="J116" s="359"/>
      <c r="K116" s="359"/>
    </row>
    <row r="137" spans="2:11" ht="15.95" customHeight="1" x14ac:dyDescent="0.2">
      <c r="B137" s="359" t="s">
        <v>720</v>
      </c>
      <c r="C137" s="359"/>
      <c r="D137" s="359"/>
      <c r="E137" s="359"/>
      <c r="F137" s="359"/>
      <c r="G137" s="359"/>
      <c r="H137" s="359"/>
      <c r="I137" s="359"/>
      <c r="J137" s="359"/>
      <c r="K137" s="359"/>
    </row>
    <row r="138" spans="2:11" x14ac:dyDescent="0.2">
      <c r="B138" s="359"/>
      <c r="C138" s="359"/>
      <c r="D138" s="359"/>
      <c r="E138" s="359"/>
      <c r="F138" s="359"/>
      <c r="G138" s="359"/>
      <c r="H138" s="359"/>
      <c r="I138" s="359"/>
      <c r="J138" s="359"/>
      <c r="K138" s="359"/>
    </row>
    <row r="139" spans="2:11" x14ac:dyDescent="0.2">
      <c r="B139" s="359"/>
      <c r="C139" s="359"/>
      <c r="D139" s="359"/>
      <c r="E139" s="359"/>
      <c r="F139" s="359"/>
      <c r="G139" s="359"/>
      <c r="H139" s="359"/>
      <c r="I139" s="359"/>
      <c r="J139" s="359"/>
      <c r="K139" s="359"/>
    </row>
    <row r="140" spans="2:11" x14ac:dyDescent="0.2">
      <c r="B140" s="359"/>
      <c r="C140" s="359"/>
      <c r="D140" s="359"/>
      <c r="E140" s="359"/>
      <c r="F140" s="359"/>
      <c r="G140" s="359"/>
      <c r="H140" s="359"/>
      <c r="I140" s="359"/>
      <c r="J140" s="359"/>
      <c r="K140" s="359"/>
    </row>
    <row r="141" spans="2:11" x14ac:dyDescent="0.2">
      <c r="B141" s="359"/>
      <c r="C141" s="359"/>
      <c r="D141" s="359"/>
      <c r="E141" s="359"/>
      <c r="F141" s="359"/>
      <c r="G141" s="359"/>
      <c r="H141" s="359"/>
      <c r="I141" s="359"/>
      <c r="J141" s="359"/>
      <c r="K141" s="359"/>
    </row>
    <row r="142" spans="2:11" x14ac:dyDescent="0.2">
      <c r="B142" s="359"/>
      <c r="C142" s="359"/>
      <c r="D142" s="359"/>
      <c r="E142" s="359"/>
      <c r="F142" s="359"/>
      <c r="G142" s="359"/>
      <c r="H142" s="359"/>
      <c r="I142" s="359"/>
      <c r="J142" s="359"/>
      <c r="K142" s="359"/>
    </row>
    <row r="144" spans="2:11" ht="15.95" customHeight="1" x14ac:dyDescent="0.2">
      <c r="B144" s="359" t="s">
        <v>721</v>
      </c>
      <c r="C144" s="359"/>
      <c r="D144" s="359"/>
      <c r="E144" s="359"/>
      <c r="F144" s="359"/>
      <c r="G144" s="359"/>
      <c r="H144" s="359"/>
      <c r="I144" s="359"/>
      <c r="J144" s="359"/>
      <c r="K144" s="359"/>
    </row>
    <row r="145" spans="2:11" x14ac:dyDescent="0.2">
      <c r="B145" s="359"/>
      <c r="C145" s="359"/>
      <c r="D145" s="359"/>
      <c r="E145" s="359"/>
      <c r="F145" s="359"/>
      <c r="G145" s="359"/>
      <c r="H145" s="359"/>
      <c r="I145" s="359"/>
      <c r="J145" s="359"/>
      <c r="K145" s="359"/>
    </row>
    <row r="146" spans="2:11" x14ac:dyDescent="0.2">
      <c r="B146" s="359"/>
      <c r="C146" s="359"/>
      <c r="D146" s="359"/>
      <c r="E146" s="359"/>
      <c r="F146" s="359"/>
      <c r="G146" s="359"/>
      <c r="H146" s="359"/>
      <c r="I146" s="359"/>
      <c r="J146" s="359"/>
      <c r="K146" s="359"/>
    </row>
    <row r="147" spans="2:11" x14ac:dyDescent="0.2">
      <c r="B147" s="359"/>
      <c r="C147" s="359"/>
      <c r="D147" s="359"/>
      <c r="E147" s="359"/>
      <c r="F147" s="359"/>
      <c r="G147" s="359"/>
      <c r="H147" s="359"/>
      <c r="I147" s="359"/>
      <c r="J147" s="359"/>
      <c r="K147" s="359"/>
    </row>
    <row r="148" spans="2:11" x14ac:dyDescent="0.2">
      <c r="B148" s="359"/>
      <c r="C148" s="359"/>
      <c r="D148" s="359"/>
      <c r="E148" s="359"/>
      <c r="F148" s="359"/>
      <c r="G148" s="359"/>
      <c r="H148" s="359"/>
      <c r="I148" s="359"/>
      <c r="J148" s="359"/>
      <c r="K148" s="359"/>
    </row>
    <row r="149" spans="2:11" x14ac:dyDescent="0.2">
      <c r="B149" s="359"/>
      <c r="C149" s="359"/>
      <c r="D149" s="359"/>
      <c r="E149" s="359"/>
      <c r="F149" s="359"/>
      <c r="G149" s="359"/>
      <c r="H149" s="359"/>
      <c r="I149" s="359"/>
      <c r="J149" s="359"/>
      <c r="K149" s="359"/>
    </row>
    <row r="150" spans="2:11" x14ac:dyDescent="0.2">
      <c r="B150" s="359"/>
      <c r="C150" s="359"/>
      <c r="D150" s="359"/>
      <c r="E150" s="359"/>
      <c r="F150" s="359"/>
      <c r="G150" s="359"/>
      <c r="H150" s="359"/>
      <c r="I150" s="359"/>
      <c r="J150" s="359"/>
      <c r="K150" s="359"/>
    </row>
    <row r="151" spans="2:11" x14ac:dyDescent="0.2">
      <c r="B151" s="359"/>
      <c r="C151" s="359"/>
      <c r="D151" s="359"/>
      <c r="E151" s="359"/>
      <c r="F151" s="359"/>
      <c r="G151" s="359"/>
      <c r="H151" s="359"/>
      <c r="I151" s="359"/>
      <c r="J151" s="359"/>
      <c r="K151" s="359"/>
    </row>
    <row r="152" spans="2:11" x14ac:dyDescent="0.2">
      <c r="B152" s="359"/>
      <c r="C152" s="359"/>
      <c r="D152" s="359"/>
      <c r="E152" s="359"/>
      <c r="F152" s="359"/>
      <c r="G152" s="359"/>
      <c r="H152" s="359"/>
      <c r="I152" s="359"/>
      <c r="J152" s="359"/>
      <c r="K152" s="359"/>
    </row>
    <row r="153" spans="2:11" x14ac:dyDescent="0.2">
      <c r="B153" s="359"/>
      <c r="C153" s="359"/>
      <c r="D153" s="359"/>
      <c r="E153" s="359"/>
      <c r="F153" s="359"/>
      <c r="G153" s="359"/>
      <c r="H153" s="359"/>
      <c r="I153" s="359"/>
      <c r="J153" s="359"/>
      <c r="K153" s="359"/>
    </row>
    <row r="154" spans="2:11" x14ac:dyDescent="0.2">
      <c r="B154" s="359"/>
      <c r="C154" s="359"/>
      <c r="D154" s="359"/>
      <c r="E154" s="359"/>
      <c r="F154" s="359"/>
      <c r="G154" s="359"/>
      <c r="H154" s="359"/>
      <c r="I154" s="359"/>
      <c r="J154" s="359"/>
      <c r="K154" s="359"/>
    </row>
    <row r="155" spans="2:11" x14ac:dyDescent="0.2">
      <c r="B155" s="359"/>
      <c r="C155" s="359"/>
      <c r="D155" s="359"/>
      <c r="E155" s="359"/>
      <c r="F155" s="359"/>
      <c r="G155" s="359"/>
      <c r="H155" s="359"/>
      <c r="I155" s="359"/>
      <c r="J155" s="359"/>
      <c r="K155" s="359"/>
    </row>
    <row r="156" spans="2:11" x14ac:dyDescent="0.2">
      <c r="B156" s="359"/>
      <c r="C156" s="359"/>
      <c r="D156" s="359"/>
      <c r="E156" s="359"/>
      <c r="F156" s="359"/>
      <c r="G156" s="359"/>
      <c r="H156" s="359"/>
      <c r="I156" s="359"/>
      <c r="J156" s="359"/>
      <c r="K156" s="359"/>
    </row>
    <row r="157" spans="2:11" x14ac:dyDescent="0.2">
      <c r="B157" s="359"/>
      <c r="C157" s="359"/>
      <c r="D157" s="359"/>
      <c r="E157" s="359"/>
      <c r="F157" s="359"/>
      <c r="G157" s="359"/>
      <c r="H157" s="359"/>
      <c r="I157" s="359"/>
      <c r="J157" s="359"/>
      <c r="K157" s="359"/>
    </row>
    <row r="158" spans="2:11" x14ac:dyDescent="0.2">
      <c r="B158" s="290"/>
      <c r="C158" s="290"/>
      <c r="D158" s="290"/>
      <c r="E158" s="290"/>
      <c r="F158" s="290"/>
      <c r="G158" s="290"/>
      <c r="H158" s="290"/>
      <c r="I158" s="290"/>
      <c r="J158" s="290"/>
      <c r="K158" s="290"/>
    </row>
    <row r="159" spans="2:11" x14ac:dyDescent="0.2">
      <c r="B159" s="290"/>
      <c r="C159" s="290"/>
      <c r="D159" s="290"/>
      <c r="E159" s="290"/>
      <c r="F159" s="290"/>
      <c r="G159" s="290"/>
      <c r="H159" s="290"/>
      <c r="I159" s="290"/>
      <c r="J159" s="290"/>
      <c r="K159" s="290"/>
    </row>
    <row r="160" spans="2:11" x14ac:dyDescent="0.2">
      <c r="B160" s="290"/>
      <c r="C160" s="290"/>
      <c r="D160" s="290"/>
      <c r="E160" s="290"/>
      <c r="F160" s="290"/>
      <c r="G160" s="290"/>
      <c r="H160" s="290"/>
      <c r="I160" s="290"/>
      <c r="J160" s="290"/>
      <c r="K160" s="290"/>
    </row>
    <row r="161" spans="2:11" x14ac:dyDescent="0.2">
      <c r="B161" s="290"/>
      <c r="C161" s="290"/>
      <c r="D161" s="290"/>
      <c r="E161" s="290"/>
      <c r="F161" s="290"/>
      <c r="G161" s="290"/>
      <c r="H161" s="290"/>
      <c r="I161" s="290"/>
      <c r="J161" s="290"/>
      <c r="K161" s="290"/>
    </row>
    <row r="162" spans="2:11" x14ac:dyDescent="0.2">
      <c r="B162" s="290"/>
      <c r="C162" s="290"/>
      <c r="D162" s="290"/>
      <c r="E162" s="290"/>
      <c r="F162" s="290"/>
      <c r="G162" s="290"/>
      <c r="H162" s="290"/>
      <c r="I162" s="290"/>
      <c r="J162" s="290"/>
      <c r="K162" s="290"/>
    </row>
  </sheetData>
  <sheetProtection algorithmName="SHA-512" hashValue="56F1ZuK5+KP07fHNZbnZRynE+24WAPlis/O89KXUwVj9FgL50q31IBattxqp9sb5e/ZmGO25Vjo12VML6cdNiA==" saltValue="t7d98za7m8crRT44ze/kbQ==" spinCount="100000"/>
  <mergeCells count="10">
    <mergeCell ref="B137:K142"/>
    <mergeCell ref="B144:K157"/>
    <mergeCell ref="B7:K7"/>
    <mergeCell ref="B9:K21"/>
    <mergeCell ref="B23:K23"/>
    <mergeCell ref="B29:K54"/>
    <mergeCell ref="B70:K81"/>
    <mergeCell ref="B100:K116"/>
    <mergeCell ref="B24:K26"/>
    <mergeCell ref="I27:K27"/>
  </mergeCells>
  <hyperlinks>
    <hyperlink ref="B1" location="Inicio!A1" display="Inicio" xr:uid="{FFD78CC9-D88B-C749-A417-204D6E37AE0B}"/>
    <hyperlink ref="K98" location="'Modelo de Madurez'!A1" display="Modelo de madurez" xr:uid="{12B65DD9-04A7-7F42-A633-CC2428268E81}"/>
    <hyperlink ref="I27:K27" location="'Modelo de Madurez'!A1" display="Ver modelo de madurez" xr:uid="{FFAE7A25-927F-5349-827C-E235EED474B9}"/>
  </hyperlinks>
  <pageMargins left="0.7" right="0.7" top="0.75" bottom="0.75" header="0.3" footer="0.3"/>
  <pageSetup scale="65" orientation="portrait" horizontalDpi="1200" verticalDpi="1200" r:id="rId1"/>
  <rowBreaks count="2" manualBreakCount="2">
    <brk id="81" min="1" max="10" man="1"/>
    <brk id="143" min="1"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D9E29-8ECA-1342-ABC3-FA3896E2761D}">
  <sheetPr codeName="Hoja3"/>
  <dimension ref="A1:J30"/>
  <sheetViews>
    <sheetView showGridLines="0" topLeftCell="A9" zoomScale="115" zoomScaleNormal="115" workbookViewId="0"/>
  </sheetViews>
  <sheetFormatPr baseColWidth="10" defaultColWidth="11" defaultRowHeight="15.75" x14ac:dyDescent="0.25"/>
  <cols>
    <col min="1" max="1" width="27.125" customWidth="1"/>
    <col min="2" max="2" width="7.125" customWidth="1"/>
    <col min="3" max="3" width="37.375" customWidth="1"/>
    <col min="4" max="4" width="10.875" customWidth="1"/>
    <col min="5" max="5" width="9.875" bestFit="1" customWidth="1"/>
    <col min="6" max="6" width="11.125" bestFit="1" customWidth="1"/>
    <col min="7" max="7" width="10" bestFit="1" customWidth="1"/>
    <col min="8" max="8" width="11.125" bestFit="1" customWidth="1"/>
    <col min="9" max="9" width="15.875" bestFit="1" customWidth="1"/>
    <col min="10" max="10" width="20.625" customWidth="1"/>
  </cols>
  <sheetData>
    <row r="1" spans="1:10" x14ac:dyDescent="0.25">
      <c r="A1" s="273" t="s">
        <v>52</v>
      </c>
    </row>
    <row r="2" spans="1:10" ht="15.95" customHeight="1" x14ac:dyDescent="0.25">
      <c r="B2" s="336" t="s">
        <v>190</v>
      </c>
      <c r="C2" s="368" t="s">
        <v>20</v>
      </c>
      <c r="D2" s="368"/>
      <c r="E2" s="368"/>
      <c r="F2" s="368"/>
      <c r="G2" s="368"/>
      <c r="H2" s="368"/>
      <c r="I2" s="368"/>
    </row>
    <row r="3" spans="1:10" ht="15.95" customHeight="1" x14ac:dyDescent="0.25">
      <c r="B3" s="336"/>
      <c r="C3" s="368"/>
      <c r="D3" s="368"/>
      <c r="E3" s="368"/>
      <c r="F3" s="368"/>
      <c r="G3" s="368"/>
      <c r="H3" s="368"/>
      <c r="I3" s="368"/>
    </row>
    <row r="4" spans="1:10" ht="15.95" customHeight="1" x14ac:dyDescent="0.25">
      <c r="B4" s="336"/>
      <c r="C4" s="368"/>
      <c r="D4" s="368"/>
      <c r="E4" s="368"/>
      <c r="F4" s="368"/>
      <c r="G4" s="368"/>
      <c r="H4" s="368"/>
      <c r="I4" s="368"/>
    </row>
    <row r="5" spans="1:10" ht="0.95" customHeight="1" x14ac:dyDescent="0.25"/>
    <row r="6" spans="1:10" hidden="1" x14ac:dyDescent="0.25"/>
    <row r="7" spans="1:10" hidden="1" x14ac:dyDescent="0.25"/>
    <row r="8" spans="1:10" hidden="1" x14ac:dyDescent="0.25"/>
    <row r="9" spans="1:10" ht="409.5" customHeight="1" x14ac:dyDescent="0.25">
      <c r="C9" s="365"/>
      <c r="D9" s="365"/>
      <c r="E9" s="365"/>
      <c r="F9" s="365"/>
      <c r="G9" s="365"/>
      <c r="H9" s="365"/>
      <c r="I9" s="365"/>
      <c r="J9" s="9"/>
    </row>
    <row r="10" spans="1:10" ht="16.5" thickBot="1" x14ac:dyDescent="0.3">
      <c r="D10" s="2"/>
      <c r="E10" s="2"/>
      <c r="F10" s="2"/>
      <c r="G10" s="2"/>
      <c r="H10" s="2"/>
    </row>
    <row r="11" spans="1:10" ht="16.5" thickBot="1" x14ac:dyDescent="0.3">
      <c r="C11" s="366" t="s">
        <v>191</v>
      </c>
      <c r="D11" s="83">
        <v>1</v>
      </c>
      <c r="E11" s="84">
        <v>2</v>
      </c>
      <c r="F11" s="85">
        <v>3</v>
      </c>
      <c r="G11" s="83">
        <v>4</v>
      </c>
      <c r="H11" s="86">
        <v>5</v>
      </c>
      <c r="I11" s="78" t="s">
        <v>192</v>
      </c>
      <c r="J11" s="7"/>
    </row>
    <row r="12" spans="1:10" ht="27" customHeight="1" thickBot="1" x14ac:dyDescent="0.3">
      <c r="C12" s="367"/>
      <c r="D12" s="87" t="s">
        <v>193</v>
      </c>
      <c r="E12" s="88" t="s">
        <v>194</v>
      </c>
      <c r="F12" s="89" t="s">
        <v>195</v>
      </c>
      <c r="G12" s="19" t="s">
        <v>196</v>
      </c>
      <c r="H12" s="88" t="s">
        <v>197</v>
      </c>
      <c r="I12" s="70">
        <f>AVERAGE(I13:I15)</f>
        <v>5</v>
      </c>
      <c r="J12" s="7"/>
    </row>
    <row r="13" spans="1:10" x14ac:dyDescent="0.25">
      <c r="C13" s="41" t="s">
        <v>198</v>
      </c>
      <c r="D13" s="25" t="str">
        <f>IF(AND(PR_MAE&gt;0,PR_MAE&lt;=1),PR_MAE,"")</f>
        <v/>
      </c>
      <c r="E13" s="25" t="str">
        <f>IF(AND(PR_MAE&gt;1,PR_MAE&lt;=2),PR_MAE,"")</f>
        <v/>
      </c>
      <c r="F13" s="25" t="str">
        <f>IF(AND(PR_MAE&gt;2,PR_MAE&lt;=3),PR_MAE,"")</f>
        <v/>
      </c>
      <c r="G13" s="25" t="str">
        <f>IF(AND(PR_MAE&gt;3,PR_MAE&lt;=4),PR_MAE,"")</f>
        <v/>
      </c>
      <c r="H13" s="47">
        <f>IF(AND(PR_MAE&gt;4,PR_MAE&lt;=5),PR_MAE,"")</f>
        <v>5</v>
      </c>
      <c r="I13" s="344">
        <f t="shared" ref="I13:I15" si="0">SUM(D13:H13)</f>
        <v>5</v>
      </c>
    </row>
    <row r="14" spans="1:10" x14ac:dyDescent="0.25">
      <c r="C14" s="42" t="s">
        <v>199</v>
      </c>
      <c r="D14" s="16" t="str">
        <f>IF(AND(PR_MGGTI&gt;0,PR_MGGTI&lt;=1),PR_MGGTI,"")</f>
        <v/>
      </c>
      <c r="E14" s="16" t="str">
        <f>IF(AND(PR_MGGTI&gt;1,PR_MGGTI&lt;=2),PR_MGGTI,"")</f>
        <v/>
      </c>
      <c r="F14" s="16" t="str">
        <f>IF(AND(PR_MGGTI&gt;2,PR_MGGTI&lt;=3),PR_MGGTI,"")</f>
        <v/>
      </c>
      <c r="G14" s="16" t="str">
        <f>IF(AND(PR_MGGTI&gt;3,PR_MGGTI&lt;=4),PR_MGGTI,"")</f>
        <v/>
      </c>
      <c r="H14" s="48">
        <f>IF(AND(PR_MGGTI&gt;4,PR_MGGTI&lt;=5),PR_MGGTI,"")</f>
        <v>5</v>
      </c>
      <c r="I14" s="345">
        <f t="shared" si="0"/>
        <v>5</v>
      </c>
    </row>
    <row r="15" spans="1:10" ht="16.5" thickBot="1" x14ac:dyDescent="0.3">
      <c r="C15" s="40" t="s">
        <v>200</v>
      </c>
      <c r="D15" s="43" t="str">
        <f>IF(AND(PR_MGPTI&gt;0,PR_MGPTI&lt;=1),PR_MGPTI,"")</f>
        <v/>
      </c>
      <c r="E15" s="43" t="str">
        <f>IF(AND(PR_MGPTI&gt;1,PR_MGPTI&lt;=2),PR_MGPTI,"")</f>
        <v/>
      </c>
      <c r="F15" s="43" t="str">
        <f>IF(AND(PR_MGPTI&gt;2,PR_MGPTI&lt;=3),PR_MGPTI,"")</f>
        <v/>
      </c>
      <c r="G15" s="43" t="str">
        <f>IF(AND(PR_MGPTI&gt;3,PR_MGPTI&lt;=4),PR_MGPTI,"")</f>
        <v/>
      </c>
      <c r="H15" s="49">
        <f>IF(AND(PR_MGPTI&gt;4,PR_MGPTI&lt;=5),PR_MGPTI,"")</f>
        <v>5</v>
      </c>
      <c r="I15" s="346">
        <f t="shared" si="0"/>
        <v>5</v>
      </c>
    </row>
    <row r="16" spans="1:10" x14ac:dyDescent="0.25">
      <c r="G16" s="1"/>
    </row>
    <row r="18" spans="2:9" ht="15.95" customHeight="1" x14ac:dyDescent="0.25">
      <c r="B18" s="343"/>
      <c r="C18" s="364" t="s">
        <v>201</v>
      </c>
      <c r="D18" s="364"/>
      <c r="E18" s="364"/>
      <c r="F18" s="364"/>
      <c r="G18" s="364"/>
      <c r="H18" s="364"/>
      <c r="I18" s="364"/>
    </row>
    <row r="19" spans="2:9" x14ac:dyDescent="0.25">
      <c r="B19" s="343"/>
      <c r="C19" s="364"/>
      <c r="D19" s="364"/>
      <c r="E19" s="364"/>
      <c r="F19" s="364"/>
      <c r="G19" s="364"/>
      <c r="H19" s="364"/>
      <c r="I19" s="364"/>
    </row>
    <row r="20" spans="2:9" x14ac:dyDescent="0.25">
      <c r="B20" s="343"/>
      <c r="C20" s="364"/>
      <c r="D20" s="364"/>
      <c r="E20" s="364"/>
      <c r="F20" s="364"/>
      <c r="G20" s="364"/>
      <c r="H20" s="364"/>
      <c r="I20" s="364"/>
    </row>
    <row r="21" spans="2:9" x14ac:dyDescent="0.25">
      <c r="B21" s="343"/>
      <c r="C21" s="364"/>
      <c r="D21" s="364"/>
      <c r="E21" s="364"/>
      <c r="F21" s="364"/>
      <c r="G21" s="364"/>
      <c r="H21" s="364"/>
      <c r="I21" s="364"/>
    </row>
    <row r="22" spans="2:9" x14ac:dyDescent="0.25">
      <c r="B22" s="343"/>
      <c r="C22" s="364"/>
      <c r="D22" s="364"/>
      <c r="E22" s="364"/>
      <c r="F22" s="364"/>
      <c r="G22" s="364"/>
      <c r="H22" s="364"/>
      <c r="I22" s="364"/>
    </row>
    <row r="23" spans="2:9" x14ac:dyDescent="0.25">
      <c r="C23" s="364"/>
      <c r="D23" s="364"/>
      <c r="E23" s="364"/>
      <c r="F23" s="364"/>
      <c r="G23" s="364"/>
      <c r="H23" s="364"/>
      <c r="I23" s="364"/>
    </row>
    <row r="24" spans="2:9" x14ac:dyDescent="0.25">
      <c r="C24" s="364"/>
      <c r="D24" s="364"/>
      <c r="E24" s="364"/>
      <c r="F24" s="364"/>
      <c r="G24" s="364"/>
      <c r="H24" s="364"/>
      <c r="I24" s="364"/>
    </row>
    <row r="25" spans="2:9" x14ac:dyDescent="0.25">
      <c r="C25" s="364"/>
      <c r="D25" s="364"/>
      <c r="E25" s="364"/>
      <c r="F25" s="364"/>
      <c r="G25" s="364"/>
      <c r="H25" s="364"/>
      <c r="I25" s="364"/>
    </row>
    <row r="27" spans="2:9" x14ac:dyDescent="0.25">
      <c r="C27" s="364" t="s">
        <v>202</v>
      </c>
      <c r="D27" s="364"/>
      <c r="E27" s="364"/>
      <c r="F27" s="364"/>
      <c r="G27" s="364"/>
      <c r="H27" s="364"/>
      <c r="I27" s="364"/>
    </row>
    <row r="28" spans="2:9" x14ac:dyDescent="0.25">
      <c r="C28" s="364"/>
      <c r="D28" s="364"/>
      <c r="E28" s="364"/>
      <c r="F28" s="364"/>
      <c r="G28" s="364"/>
      <c r="H28" s="364"/>
      <c r="I28" s="364"/>
    </row>
    <row r="29" spans="2:9" x14ac:dyDescent="0.25">
      <c r="C29" s="364"/>
      <c r="D29" s="364"/>
      <c r="E29" s="364"/>
      <c r="F29" s="364"/>
      <c r="G29" s="364"/>
      <c r="H29" s="364"/>
      <c r="I29" s="364"/>
    </row>
    <row r="30" spans="2:9" x14ac:dyDescent="0.25">
      <c r="C30" s="364"/>
      <c r="D30" s="364"/>
      <c r="E30" s="364"/>
      <c r="F30" s="364"/>
      <c r="G30" s="364"/>
      <c r="H30" s="364"/>
      <c r="I30" s="364"/>
    </row>
  </sheetData>
  <sheetProtection algorithmName="SHA-512" hashValue="eA0kOMa3v0CWiYtIKyyxu2ua6Pu6NK61a6fZKUuH7ElhCxQPirjSA+TFEMAoeYapkbWUI8GFhIGwwyG6d4Vt/Q==" saltValue="HNZOv5QUmAQ1HpCPoGlR7g==" spinCount="100000" autoFilter="0" pivotTables="0"/>
  <mergeCells count="5">
    <mergeCell ref="C27:I30"/>
    <mergeCell ref="C9:I9"/>
    <mergeCell ref="C11:C12"/>
    <mergeCell ref="C2:I4"/>
    <mergeCell ref="C18:I25"/>
  </mergeCells>
  <hyperlinks>
    <hyperlink ref="A1" location="Inicio!A1" display="Inicio" xr:uid="{8D7B2D29-7A55-5B43-9A6F-99A51EC88FC7}"/>
    <hyperlink ref="I13" location="'1.MAE'!A1" display="'1.MAE'!A1" xr:uid="{C8280070-30E6-FB48-B8EB-3DD02335C252}"/>
    <hyperlink ref="I14" location="'2.MGGTI'!A1" display="'2.MGGTI'!A1" xr:uid="{7AB8AF1E-BF41-C243-8EFA-8C906EF68E59}"/>
    <hyperlink ref="I15" location="'3.MGPTI'!A1" display="'3.MGPTI'!A1" xr:uid="{F4F481D2-369F-1244-8E06-84478E13E588}"/>
  </hyperlinks>
  <pageMargins left="0.7" right="0.7" top="0.75" bottom="0.75" header="0.3" footer="0.3"/>
  <pageSetup orientation="portrait" horizontalDpi="0" verticalDpi="0"/>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87B7C-5DEB-2448-8F4F-9E995DE1E0A3}">
  <sheetPr codeName="Hoja4"/>
  <dimension ref="A1:J73"/>
  <sheetViews>
    <sheetView showGridLines="0" topLeftCell="A14" zoomScale="120" zoomScaleNormal="120" zoomScalePageLayoutView="66" workbookViewId="0"/>
  </sheetViews>
  <sheetFormatPr baseColWidth="10" defaultColWidth="11" defaultRowHeight="15.75" x14ac:dyDescent="0.25"/>
  <cols>
    <col min="1" max="1" width="7.125" style="8" customWidth="1"/>
    <col min="2" max="2" width="41.875" customWidth="1"/>
    <col min="3" max="8" width="15.875" customWidth="1"/>
    <col min="9" max="9" width="10" customWidth="1"/>
    <col min="10" max="10" width="11.875" bestFit="1" customWidth="1"/>
  </cols>
  <sheetData>
    <row r="1" spans="1:9" x14ac:dyDescent="0.25">
      <c r="A1" s="273" t="s">
        <v>52</v>
      </c>
      <c r="B1" s="34"/>
      <c r="C1" s="34"/>
      <c r="D1" s="34"/>
      <c r="E1" s="34"/>
      <c r="F1" s="34"/>
      <c r="G1" s="34"/>
      <c r="H1" s="34"/>
      <c r="I1" s="34"/>
    </row>
    <row r="2" spans="1:9" x14ac:dyDescent="0.25">
      <c r="A2" s="33"/>
      <c r="B2" s="369" t="s">
        <v>203</v>
      </c>
      <c r="C2" s="369"/>
      <c r="D2" s="369"/>
      <c r="E2" s="369"/>
      <c r="F2" s="369"/>
      <c r="G2" s="369"/>
      <c r="H2" s="369"/>
      <c r="I2" s="34"/>
    </row>
    <row r="3" spans="1:9" x14ac:dyDescent="0.25">
      <c r="A3" s="33"/>
      <c r="B3" s="369"/>
      <c r="C3" s="369"/>
      <c r="D3" s="369"/>
      <c r="E3" s="369"/>
      <c r="F3" s="369"/>
      <c r="G3" s="369"/>
      <c r="H3" s="369"/>
      <c r="I3" s="34"/>
    </row>
    <row r="4" spans="1:9" ht="15.95" customHeight="1" x14ac:dyDescent="0.25">
      <c r="A4" s="33"/>
      <c r="B4" s="369"/>
      <c r="C4" s="369"/>
      <c r="D4" s="369"/>
      <c r="E4" s="369"/>
      <c r="F4" s="369"/>
      <c r="G4" s="369"/>
      <c r="H4" s="369"/>
      <c r="I4" s="34"/>
    </row>
    <row r="5" spans="1:9" ht="15.95" customHeight="1" x14ac:dyDescent="0.25">
      <c r="A5" s="33"/>
      <c r="B5" s="369"/>
      <c r="C5" s="369"/>
      <c r="D5" s="369"/>
      <c r="E5" s="369"/>
      <c r="F5" s="369"/>
      <c r="G5" s="369"/>
      <c r="H5" s="369"/>
      <c r="I5" s="34"/>
    </row>
    <row r="6" spans="1:9" ht="12" customHeight="1" x14ac:dyDescent="0.25">
      <c r="A6" s="33"/>
      <c r="B6" s="369"/>
      <c r="C6" s="369"/>
      <c r="D6" s="369"/>
      <c r="E6" s="369"/>
      <c r="F6" s="369"/>
      <c r="G6" s="369"/>
      <c r="H6" s="369"/>
      <c r="I6" s="34"/>
    </row>
    <row r="7" spans="1:9" x14ac:dyDescent="0.25">
      <c r="A7" s="33"/>
      <c r="B7" s="34"/>
      <c r="C7" s="34"/>
      <c r="D7" s="34"/>
      <c r="E7" s="34"/>
      <c r="F7" s="34"/>
      <c r="G7" s="34"/>
      <c r="H7" s="34"/>
      <c r="I7" s="34"/>
    </row>
    <row r="8" spans="1:9" x14ac:dyDescent="0.25">
      <c r="A8" s="33"/>
      <c r="B8" s="34"/>
      <c r="C8" s="34"/>
      <c r="D8" s="34"/>
      <c r="E8" s="34"/>
      <c r="F8" s="34"/>
      <c r="G8" s="34"/>
      <c r="H8" s="34"/>
      <c r="I8" s="34"/>
    </row>
    <row r="9" spans="1:9" x14ac:dyDescent="0.25">
      <c r="A9" s="33"/>
      <c r="B9" s="34"/>
      <c r="C9" s="34"/>
      <c r="D9" s="34"/>
      <c r="E9" s="34"/>
      <c r="F9" s="34"/>
      <c r="G9" s="34"/>
      <c r="H9" s="34"/>
      <c r="I9" s="34"/>
    </row>
    <row r="10" spans="1:9" ht="0.95" customHeight="1" x14ac:dyDescent="0.25">
      <c r="A10" s="33"/>
      <c r="B10" s="34"/>
      <c r="C10" s="34"/>
      <c r="D10" s="34"/>
      <c r="E10" s="34"/>
      <c r="F10" s="34"/>
      <c r="G10" s="34"/>
      <c r="H10" s="34"/>
      <c r="I10" s="34"/>
    </row>
    <row r="11" spans="1:9" hidden="1" x14ac:dyDescent="0.25">
      <c r="A11" s="33"/>
      <c r="B11" s="34"/>
      <c r="C11" s="34"/>
      <c r="D11" s="34"/>
      <c r="E11" s="34"/>
      <c r="F11" s="34"/>
      <c r="G11" s="34"/>
      <c r="H11" s="34"/>
      <c r="I11" s="34"/>
    </row>
    <row r="12" spans="1:9" hidden="1" x14ac:dyDescent="0.25">
      <c r="A12" s="33"/>
      <c r="B12" s="34"/>
      <c r="C12" s="34"/>
      <c r="D12" s="34"/>
      <c r="E12" s="34"/>
      <c r="F12" s="34"/>
      <c r="G12" s="34"/>
      <c r="H12" s="34"/>
      <c r="I12" s="34"/>
    </row>
    <row r="13" spans="1:9" hidden="1" x14ac:dyDescent="0.25">
      <c r="A13" s="33"/>
      <c r="B13" s="34"/>
      <c r="C13" s="34"/>
      <c r="D13" s="34"/>
      <c r="E13" s="34"/>
      <c r="F13" s="34"/>
      <c r="G13" s="34"/>
      <c r="H13" s="34"/>
      <c r="I13" s="34"/>
    </row>
    <row r="14" spans="1:9" ht="357" customHeight="1" x14ac:dyDescent="0.25">
      <c r="A14" s="33"/>
      <c r="B14" s="374"/>
      <c r="C14" s="374"/>
      <c r="D14" s="374"/>
      <c r="E14" s="374"/>
      <c r="F14" s="374"/>
      <c r="G14" s="374"/>
      <c r="H14" s="374"/>
      <c r="I14" s="51"/>
    </row>
    <row r="15" spans="1:9" ht="15.95" customHeight="1" thickBot="1" x14ac:dyDescent="0.3">
      <c r="A15" s="33"/>
      <c r="B15" s="17"/>
      <c r="C15" s="34"/>
      <c r="D15" s="34"/>
      <c r="E15" s="34"/>
      <c r="F15" s="34"/>
      <c r="G15" s="34"/>
      <c r="H15" s="34"/>
      <c r="I15" s="34"/>
    </row>
    <row r="16" spans="1:9" ht="17.100000000000001" customHeight="1" thickBot="1" x14ac:dyDescent="0.3">
      <c r="A16" s="33"/>
      <c r="B16" s="370" t="s">
        <v>198</v>
      </c>
      <c r="C16" s="79">
        <v>1</v>
      </c>
      <c r="D16" s="79">
        <v>2</v>
      </c>
      <c r="E16" s="80">
        <v>3</v>
      </c>
      <c r="F16" s="81">
        <v>4</v>
      </c>
      <c r="G16" s="82">
        <v>5</v>
      </c>
      <c r="H16" s="74" t="s">
        <v>192</v>
      </c>
      <c r="I16" s="52"/>
    </row>
    <row r="17" spans="1:9" ht="17.100000000000001" customHeight="1" thickBot="1" x14ac:dyDescent="0.3">
      <c r="A17" s="50"/>
      <c r="B17" s="371"/>
      <c r="C17" s="19" t="s">
        <v>193</v>
      </c>
      <c r="D17" s="20" t="s">
        <v>194</v>
      </c>
      <c r="E17" s="20" t="s">
        <v>195</v>
      </c>
      <c r="F17" s="20" t="s">
        <v>196</v>
      </c>
      <c r="G17" s="20" t="s">
        <v>197</v>
      </c>
      <c r="H17" s="75">
        <f>IFERROR(AVERAGE(H18:H21),"Faltan datos")</f>
        <v>5</v>
      </c>
      <c r="I17" s="52"/>
    </row>
    <row r="18" spans="1:9" x14ac:dyDescent="0.25">
      <c r="A18" s="50"/>
      <c r="B18" s="21" t="s">
        <v>57</v>
      </c>
      <c r="C18" s="23" t="str">
        <f>IF(AND(PR_MAE_GESTION&gt;0,PR_MAE_GESTION&lt;=1),PR_MAE_GESTION,"")</f>
        <v/>
      </c>
      <c r="D18" s="23" t="str">
        <f>IF(AND(PR_MAE_GESTION&gt;1,PR_MAE_GESTION&lt;=2),PR_MAE_GESTION,"")</f>
        <v/>
      </c>
      <c r="E18" s="24" t="str">
        <f>IF(AND(PR_MAE_GESTION&gt;2,PR_MAE_GESTION&lt;=3),PR_MAE_GESTION,"")</f>
        <v/>
      </c>
      <c r="F18" s="25" t="str">
        <f>IF(AND(PR_MAE_GESTION&gt;3,PR_MAE_GESTION&lt;=4),PR_MAE_GESTION,"")</f>
        <v/>
      </c>
      <c r="G18" s="23">
        <f>IF(AND(PR_MAE_GESTION&gt;4,PR_MAE_GESTION&lt;=5),PR_MAE_GESTION,"")</f>
        <v>5</v>
      </c>
      <c r="H18" s="73">
        <f t="shared" ref="H18:H21" si="0">SUM(C18:G18)</f>
        <v>5</v>
      </c>
      <c r="I18" s="34"/>
    </row>
    <row r="19" spans="1:9" x14ac:dyDescent="0.25">
      <c r="A19" s="50"/>
      <c r="B19" s="26" t="s">
        <v>204</v>
      </c>
      <c r="C19" s="14" t="str">
        <f>IF(AND(PR_MAE_DEFINICION&gt;0,PR_MAE_DEFINICION&lt;=1),PR_MAE_DEFINICION,"")</f>
        <v/>
      </c>
      <c r="D19" s="14" t="str">
        <f>IF(AND(PR_MAE_DEFINICION&gt;0,PR_MAE_DEFINICION&lt;=2),PR_MAE_DEFINICION,"")</f>
        <v/>
      </c>
      <c r="E19" s="14" t="str">
        <f>IF(AND(PR_MAE_DEFINICION&gt;2,PR_MAE_DEFINICION&lt;=3),PR_MAE_DEFINICION,"")</f>
        <v/>
      </c>
      <c r="F19" s="16" t="str">
        <f>IF(AND(PR_MAE_DEFINICION&gt;3,PR_MAE_DEFINICION&lt;=4),PR_MAE_DEFINICION,"")</f>
        <v/>
      </c>
      <c r="G19" s="14">
        <f>IF(AND(PR_MAE_DEFINICION&gt;4,PR_MAE_DEFINICION&lt;=5),PR_MAE_DEFINICION,"")</f>
        <v>5</v>
      </c>
      <c r="H19" s="27">
        <f t="shared" si="0"/>
        <v>5</v>
      </c>
      <c r="I19" s="34"/>
    </row>
    <row r="20" spans="1:9" x14ac:dyDescent="0.25">
      <c r="A20" s="50"/>
      <c r="B20" s="26" t="s">
        <v>77</v>
      </c>
      <c r="C20" s="15" t="str">
        <f>IF(AND(PR_MAE_CAPACIDAD&gt;0,PR_MAE_CAPACIDAD&lt;=1),PR_MAE_CAPACIDAD,"")</f>
        <v/>
      </c>
      <c r="D20" s="14" t="str">
        <f>IF(AND(PR_MAE_CAPACIDAD&gt;1,PR_MAE_CAPACIDAD&lt;=2),PR_MAE_CAPACIDAD,"")</f>
        <v/>
      </c>
      <c r="E20" s="14" t="str">
        <f>IF(AND(PR_MAE_CAPACIDAD&gt;2,PR_MAE_CAPACIDAD&lt;=3),PR_MAE_CAPACIDAD,"")</f>
        <v/>
      </c>
      <c r="F20" s="14" t="str">
        <f>IF(AND(PR_MAE_CAPACIDAD&gt;3,PR_MAE_CAPACIDAD&lt;=4),PR_MAE_CAPACIDAD,"")</f>
        <v/>
      </c>
      <c r="G20" s="16">
        <f>IF(AND(PR_MAE_CAPACIDAD&gt;4,PR_MAE_CAPACIDAD&lt;=5),PR_MAE_CAPACIDAD,"")</f>
        <v>5</v>
      </c>
      <c r="H20" s="28">
        <f t="shared" si="0"/>
        <v>5</v>
      </c>
      <c r="I20" s="34"/>
    </row>
    <row r="21" spans="1:9" ht="16.5" thickBot="1" x14ac:dyDescent="0.3">
      <c r="A21" s="50"/>
      <c r="B21" s="29" t="s">
        <v>84</v>
      </c>
      <c r="C21" s="30" t="str">
        <f>IF(AND(PR_MAE_ORGANIZACIONAL&gt;0,PR_MAE_ORGANIZACIONAL&lt;=1),PR_MAE_ORGANIZACIONAL,"")</f>
        <v/>
      </c>
      <c r="D21" s="31" t="str">
        <f>IF(AND(PR_MAE_ORGANIZACIONAL&gt;1,PR_MAE_ORGANIZACIONAL&lt;=2),PR_MAE_ORGANIZACIONAL,"")</f>
        <v/>
      </c>
      <c r="E21" s="31" t="str">
        <f>IF(AND(PR_MAE_ORGANIZACIONAL&gt;2,PR_MAE_ORGANIZACIONAL&lt;=3),PR_MAE_ORGANIZACIONAL,"")</f>
        <v/>
      </c>
      <c r="F21" s="31" t="str">
        <f>IF(AND(PR_MAE_ORGANIZACIONAL&gt;3,PR_MAE_ORGANIZACIONAL&lt;=4),PR_MAE_ORGANIZACIONAL,"")</f>
        <v/>
      </c>
      <c r="G21" s="31">
        <f>IF(AND(PR_MAE_ORGANIZACIONAL&gt;4,PR_MAE_ORGANIZACIONAL&lt;=5),PR_MAE_ORGANIZACIONAL,"")</f>
        <v>5</v>
      </c>
      <c r="H21" s="32">
        <f t="shared" si="0"/>
        <v>5</v>
      </c>
      <c r="I21" s="34"/>
    </row>
    <row r="22" spans="1:9" x14ac:dyDescent="0.25">
      <c r="A22" s="33"/>
      <c r="B22" s="34"/>
      <c r="C22" s="34"/>
      <c r="D22" s="34"/>
      <c r="E22" s="34"/>
      <c r="F22" s="35"/>
      <c r="G22" s="34"/>
      <c r="H22" s="34"/>
      <c r="I22" s="34"/>
    </row>
    <row r="23" spans="1:9" x14ac:dyDescent="0.25">
      <c r="A23" s="33"/>
      <c r="B23" s="34"/>
      <c r="C23" s="34"/>
      <c r="D23" s="34"/>
      <c r="E23" s="34"/>
      <c r="F23" s="35"/>
      <c r="G23" s="34"/>
      <c r="H23" s="34"/>
      <c r="I23" s="34"/>
    </row>
    <row r="24" spans="1:9" ht="378.95" customHeight="1" x14ac:dyDescent="0.25">
      <c r="A24" s="33"/>
      <c r="B24" s="374"/>
      <c r="C24" s="374"/>
      <c r="D24" s="374"/>
      <c r="E24" s="374"/>
      <c r="F24" s="374"/>
      <c r="G24" s="374"/>
      <c r="H24" s="374"/>
      <c r="I24" s="34"/>
    </row>
    <row r="25" spans="1:9" x14ac:dyDescent="0.25">
      <c r="A25" s="33"/>
      <c r="B25" s="53"/>
      <c r="C25" s="34"/>
      <c r="D25" s="34"/>
      <c r="E25" s="34"/>
      <c r="F25" s="34"/>
      <c r="G25" s="34"/>
      <c r="H25" s="34"/>
      <c r="I25" s="34"/>
    </row>
    <row r="26" spans="1:9" ht="16.5" thickBot="1" x14ac:dyDescent="0.3">
      <c r="A26" s="33"/>
      <c r="B26" s="34"/>
      <c r="C26" s="34"/>
      <c r="D26" s="34"/>
      <c r="E26" s="34"/>
      <c r="F26" s="34"/>
      <c r="G26" s="34"/>
      <c r="H26" s="34"/>
      <c r="I26" s="34"/>
    </row>
    <row r="27" spans="1:9" ht="16.5" thickBot="1" x14ac:dyDescent="0.3">
      <c r="A27" s="33"/>
      <c r="B27" s="370" t="s">
        <v>205</v>
      </c>
      <c r="C27" s="79">
        <v>1</v>
      </c>
      <c r="D27" s="79">
        <v>2</v>
      </c>
      <c r="E27" s="80">
        <v>3</v>
      </c>
      <c r="F27" s="81">
        <v>4</v>
      </c>
      <c r="G27" s="82">
        <v>5</v>
      </c>
      <c r="H27" s="76" t="s">
        <v>192</v>
      </c>
      <c r="I27" s="34"/>
    </row>
    <row r="28" spans="1:9" ht="15.95" customHeight="1" thickBot="1" x14ac:dyDescent="0.3">
      <c r="A28" s="33"/>
      <c r="B28" s="371"/>
      <c r="C28" s="54" t="s">
        <v>193</v>
      </c>
      <c r="D28" s="55" t="s">
        <v>194</v>
      </c>
      <c r="E28" s="56" t="s">
        <v>195</v>
      </c>
      <c r="F28" s="18" t="s">
        <v>196</v>
      </c>
      <c r="G28" s="55" t="s">
        <v>197</v>
      </c>
      <c r="H28" s="70">
        <f>AVERAGE(H29:H32)</f>
        <v>5</v>
      </c>
      <c r="I28" s="34"/>
    </row>
    <row r="29" spans="1:9" x14ac:dyDescent="0.25">
      <c r="A29" s="33"/>
      <c r="B29" s="57" t="s">
        <v>58</v>
      </c>
      <c r="C29" s="22">
        <v>1</v>
      </c>
      <c r="D29" s="23">
        <f>AVERAGEIFS('1.1.Atributos MAE'!F$6:F$65,'1.1.Atributos MAE'!$B$6:$B$65,D27)</f>
        <v>1</v>
      </c>
      <c r="E29" s="23">
        <f>AVERAGEIFS('1.1.Atributos MAE'!G$6:G$65,'1.1.Atributos MAE'!$B$6:$B$65,E27)</f>
        <v>1</v>
      </c>
      <c r="F29" s="23">
        <f>AVERAGEIFS('1.1.Atributos MAE'!H$6:H$65,'1.1.Atributos MAE'!$B$6:$B$65,F27)</f>
        <v>1</v>
      </c>
      <c r="G29" s="24">
        <f>AVERAGEIFS('1.1.Atributos MAE'!I$6:I$65,'1.1.Atributos MAE'!$B$6:$B$65,G27)</f>
        <v>1</v>
      </c>
      <c r="H29" s="72">
        <f>AVERAGE(C29:G29)*5</f>
        <v>5</v>
      </c>
      <c r="I29" s="34"/>
    </row>
    <row r="30" spans="1:9" ht="31.5" x14ac:dyDescent="0.25">
      <c r="A30" s="33"/>
      <c r="B30" s="26" t="s">
        <v>59</v>
      </c>
      <c r="C30" s="14">
        <v>1</v>
      </c>
      <c r="D30" s="14">
        <f>AVERAGEIFS('1.1.Atributos MAE'!$G6:$G65,'1.1.Atributos MAE'!$B$6:$B$65,D27)</f>
        <v>1</v>
      </c>
      <c r="E30" s="14">
        <f>AVERAGEIFS('1.1.Atributos MAE'!$G6:$G65,'1.1.Atributos MAE'!$B$6:$B$65,E27)</f>
        <v>1</v>
      </c>
      <c r="F30" s="14">
        <f>AVERAGEIFS('1.1.Atributos MAE'!$G6:$G65,'1.1.Atributos MAE'!$B$6:$B$65,F27)</f>
        <v>1</v>
      </c>
      <c r="G30" s="60">
        <f>AVERAGEIFS('1.1.Atributos MAE'!$G6:$G65,'1.1.Atributos MAE'!$B$6:$B$65,G27)</f>
        <v>1</v>
      </c>
      <c r="H30" s="62">
        <f>AVERAGE(C30:G30)*5</f>
        <v>5</v>
      </c>
      <c r="I30" s="34"/>
    </row>
    <row r="31" spans="1:9" x14ac:dyDescent="0.25">
      <c r="A31" s="33"/>
      <c r="B31" s="26" t="s">
        <v>206</v>
      </c>
      <c r="C31" s="14">
        <v>1</v>
      </c>
      <c r="D31" s="14">
        <f>AVERAGEIFS('1.1.Atributos MAE'!$H$6:$H$65,'1.1.Atributos MAE'!$B$6:$B$65,D27)</f>
        <v>1</v>
      </c>
      <c r="E31" s="14">
        <f>AVERAGEIFS('1.1.Atributos MAE'!$H$6:$H$65,'1.1.Atributos MAE'!$B$6:$B$65,E27)</f>
        <v>1</v>
      </c>
      <c r="F31" s="14">
        <f>AVERAGEIFS('1.1.Atributos MAE'!$H$6:$H$65,'1.1.Atributos MAE'!$B$6:$B$65,F27)</f>
        <v>1</v>
      </c>
      <c r="G31" s="60">
        <f>AVERAGEIFS('1.1.Atributos MAE'!$H$6:$H$65,'1.1.Atributos MAE'!$B$6:$B$65,G27)</f>
        <v>1</v>
      </c>
      <c r="H31" s="63">
        <f>AVERAGE(C31:G31)*5</f>
        <v>5</v>
      </c>
      <c r="I31" s="34"/>
    </row>
    <row r="32" spans="1:9" ht="16.5" thickBot="1" x14ac:dyDescent="0.3">
      <c r="A32" s="33"/>
      <c r="B32" s="58" t="s">
        <v>61</v>
      </c>
      <c r="C32" s="30">
        <v>1</v>
      </c>
      <c r="D32" s="31">
        <f>AVERAGEIFS('1.1.Atributos MAE'!$I6:$I65,'1.1.Atributos MAE'!$B$6:$B$65,D27)</f>
        <v>1</v>
      </c>
      <c r="E32" s="31">
        <f>AVERAGEIFS('1.1.Atributos MAE'!$I6:$I65,'1.1.Atributos MAE'!$B$6:$B$65,E27)</f>
        <v>1</v>
      </c>
      <c r="F32" s="31">
        <f>AVERAGEIFS('1.1.Atributos MAE'!$I6:$I65,'1.1.Atributos MAE'!$B$6:$B$65,F27)</f>
        <v>1</v>
      </c>
      <c r="G32" s="61">
        <f>AVERAGEIFS('1.1.Atributos MAE'!$I6:$I65,'1.1.Atributos MAE'!$B$6:$B$65,G27)</f>
        <v>1</v>
      </c>
      <c r="H32" s="64">
        <f>AVERAGE(C32:G32)*5</f>
        <v>5</v>
      </c>
      <c r="I32" s="34"/>
    </row>
    <row r="33" spans="1:9" x14ac:dyDescent="0.25">
      <c r="A33" s="33"/>
      <c r="B33" s="34"/>
      <c r="C33" s="34"/>
      <c r="D33" s="34"/>
      <c r="E33" s="34"/>
      <c r="F33" s="34"/>
      <c r="G33" s="34"/>
      <c r="H33" s="34"/>
      <c r="I33" s="34"/>
    </row>
    <row r="34" spans="1:9" x14ac:dyDescent="0.25">
      <c r="A34" s="33"/>
      <c r="B34" s="34"/>
      <c r="C34" s="34"/>
      <c r="D34" s="34"/>
      <c r="E34" s="34"/>
      <c r="F34" s="35"/>
      <c r="G34" s="36"/>
      <c r="H34" s="34"/>
      <c r="I34" s="34"/>
    </row>
    <row r="35" spans="1:9" ht="399.95" customHeight="1" x14ac:dyDescent="0.25">
      <c r="A35" s="33"/>
      <c r="B35" s="365"/>
      <c r="C35" s="365"/>
      <c r="D35" s="365"/>
      <c r="E35" s="365"/>
      <c r="F35" s="365"/>
      <c r="G35" s="365"/>
      <c r="H35" s="365"/>
      <c r="I35" s="34"/>
    </row>
    <row r="36" spans="1:9" x14ac:dyDescent="0.25">
      <c r="A36" s="33"/>
      <c r="B36" s="34"/>
      <c r="C36" s="34"/>
      <c r="D36" s="34"/>
      <c r="E36" s="34"/>
      <c r="F36" s="35"/>
      <c r="G36" s="36"/>
      <c r="H36" s="34"/>
      <c r="I36" s="34"/>
    </row>
    <row r="37" spans="1:9" x14ac:dyDescent="0.25">
      <c r="A37" s="33"/>
      <c r="B37" s="34"/>
      <c r="C37" s="34"/>
      <c r="D37" s="34"/>
      <c r="E37" s="34"/>
      <c r="F37" s="34"/>
      <c r="G37" s="34"/>
      <c r="H37" s="34"/>
      <c r="I37" s="34"/>
    </row>
    <row r="38" spans="1:9" ht="16.5" thickBot="1" x14ac:dyDescent="0.3">
      <c r="A38" s="33"/>
      <c r="B38" s="34"/>
      <c r="C38" s="33"/>
      <c r="D38" s="33"/>
      <c r="E38" s="33"/>
      <c r="F38" s="33"/>
      <c r="G38" s="33"/>
      <c r="H38" s="34"/>
      <c r="I38" s="34"/>
    </row>
    <row r="39" spans="1:9" ht="16.5" thickBot="1" x14ac:dyDescent="0.3">
      <c r="A39" s="33"/>
      <c r="B39" s="372" t="s">
        <v>207</v>
      </c>
      <c r="C39" s="44">
        <v>1</v>
      </c>
      <c r="D39" s="45">
        <v>2</v>
      </c>
      <c r="E39" s="46">
        <v>3</v>
      </c>
      <c r="F39" s="44">
        <v>4</v>
      </c>
      <c r="G39" s="77">
        <v>5</v>
      </c>
      <c r="H39" s="78" t="s">
        <v>192</v>
      </c>
      <c r="I39" s="34"/>
    </row>
    <row r="40" spans="1:9" ht="21.95" customHeight="1" thickBot="1" x14ac:dyDescent="0.3">
      <c r="A40" s="33"/>
      <c r="B40" s="373"/>
      <c r="C40" s="37" t="s">
        <v>193</v>
      </c>
      <c r="D40" s="38" t="s">
        <v>194</v>
      </c>
      <c r="E40" s="39" t="s">
        <v>195</v>
      </c>
      <c r="F40" s="20" t="s">
        <v>196</v>
      </c>
      <c r="G40" s="38" t="s">
        <v>197</v>
      </c>
      <c r="H40" s="70">
        <f>IFERROR(AVERAGE(H41:H44), "Faltan datos")</f>
        <v>5</v>
      </c>
      <c r="I40" s="34"/>
    </row>
    <row r="41" spans="1:9" x14ac:dyDescent="0.25">
      <c r="A41" s="33"/>
      <c r="B41" s="41" t="s">
        <v>68</v>
      </c>
      <c r="C41" s="25">
        <v>1</v>
      </c>
      <c r="D41" s="25">
        <f>AVERAGEIFS('1.1.Atributos MAE'!$J6:$J65,'1.1.Atributos MAE'!$B$6:$B$65,D39)</f>
        <v>1</v>
      </c>
      <c r="E41" s="25">
        <f>AVERAGEIFS('1.1.Atributos MAE'!$J6:$J65,'1.1.Atributos MAE'!$B$6:$B$65,E39)</f>
        <v>1</v>
      </c>
      <c r="F41" s="25">
        <f>AVERAGEIFS('1.1.Atributos MAE'!$J6:$J65,'1.1.Atributos MAE'!$B$6:$B$65,F39)</f>
        <v>1</v>
      </c>
      <c r="G41" s="65">
        <f>AVERAGEIFS('1.1.Atributos MAE'!$J6:$J65,'1.1.Atributos MAE'!$B$6:$B$65,G39)</f>
        <v>1</v>
      </c>
      <c r="H41" s="71">
        <f>AVERAGE(C41:G41)*COUNT(C41:G41)</f>
        <v>5</v>
      </c>
      <c r="I41" s="34"/>
    </row>
    <row r="42" spans="1:9" x14ac:dyDescent="0.25">
      <c r="A42" s="33"/>
      <c r="B42" s="42" t="s">
        <v>69</v>
      </c>
      <c r="C42" s="16">
        <v>1</v>
      </c>
      <c r="D42" s="16">
        <f>AVERAGEIFS('1.1.Atributos MAE'!$K6:$K65,'1.1.Atributos MAE'!$B$6:$B$65,D39)</f>
        <v>1</v>
      </c>
      <c r="E42" s="16">
        <f>AVERAGEIFS('1.1.Atributos MAE'!$K6:$K65,'1.1.Atributos MAE'!$B$6:$B$65,E39)</f>
        <v>1</v>
      </c>
      <c r="F42" s="16">
        <f>AVERAGEIFS('1.1.Atributos MAE'!$K6:$K65,'1.1.Atributos MAE'!$B$6:$B$65,F39)</f>
        <v>1</v>
      </c>
      <c r="G42" s="66">
        <f>AVERAGEIFS('1.1.Atributos MAE'!$K6:$K65,'1.1.Atributos MAE'!$B$6:$B$65,G39)</f>
        <v>1</v>
      </c>
      <c r="H42" s="71">
        <f>AVERAGE(C42:G42)*COUNT(C42:G42)</f>
        <v>5</v>
      </c>
      <c r="I42" s="34"/>
    </row>
    <row r="43" spans="1:9" x14ac:dyDescent="0.25">
      <c r="A43" s="33"/>
      <c r="B43" s="42" t="s">
        <v>208</v>
      </c>
      <c r="C43" s="16">
        <v>1</v>
      </c>
      <c r="D43" s="16">
        <f>AVERAGEIFS('1.1.Atributos MAE'!$L6:$L65,'1.1.Atributos MAE'!$B$6:$B$65,D39)</f>
        <v>1</v>
      </c>
      <c r="E43" s="16">
        <f>AVERAGEIFS('1.1.Atributos MAE'!$L6:$L65,'1.1.Atributos MAE'!$B$6:$B$65,E39)</f>
        <v>1</v>
      </c>
      <c r="F43" s="128">
        <f>IFERROR(AVERAGEIFS('1.1.Atributos MAE'!$L6:$L65,'1.1.Atributos MAE'!$B$6:$B$65,F39),0)</f>
        <v>1</v>
      </c>
      <c r="G43" s="66">
        <f>AVERAGEIFS('1.1.Atributos MAE'!$L6:$L65,'1.1.Atributos MAE'!$B$6:$B$65,G39)</f>
        <v>1</v>
      </c>
      <c r="H43" s="71">
        <f>AVERAGE(C43:G43)*COUNT(C43:G43)</f>
        <v>5</v>
      </c>
      <c r="I43" s="34"/>
    </row>
    <row r="44" spans="1:9" ht="16.5" thickBot="1" x14ac:dyDescent="0.3">
      <c r="A44" s="33"/>
      <c r="B44" s="40" t="s">
        <v>209</v>
      </c>
      <c r="C44" s="43">
        <v>1</v>
      </c>
      <c r="D44" s="43">
        <f>AVERAGEIFS('1.1.Atributos MAE'!$M6:$M65,'1.1.Atributos MAE'!$B$6:$B$65,D39)</f>
        <v>1</v>
      </c>
      <c r="E44" s="43">
        <f>AVERAGEIFS('1.1.Atributos MAE'!$M6:$M65,'1.1.Atributos MAE'!$B$6:$B$65,E39)</f>
        <v>1</v>
      </c>
      <c r="F44" s="43">
        <f>AVERAGEIFS('1.1.Atributos MAE'!$M6:$M65,'1.1.Atributos MAE'!$B$6:$B$65,F39)</f>
        <v>1</v>
      </c>
      <c r="G44" s="67">
        <f>AVERAGEIFS('1.1.Atributos MAE'!$M6:$M65,'1.1.Atributos MAE'!$B$6:$B$65,G39)</f>
        <v>1</v>
      </c>
      <c r="H44" s="71">
        <f>AVERAGE(C44:G44)*COUNT(C44:G44)</f>
        <v>5</v>
      </c>
      <c r="I44" s="34"/>
    </row>
    <row r="45" spans="1:9" x14ac:dyDescent="0.25">
      <c r="A45" s="33"/>
      <c r="B45" s="34"/>
      <c r="C45" s="34"/>
      <c r="D45" s="34"/>
      <c r="E45" s="34"/>
      <c r="F45" s="34"/>
      <c r="G45" s="35"/>
      <c r="H45" s="34"/>
      <c r="I45" s="34"/>
    </row>
    <row r="46" spans="1:9" x14ac:dyDescent="0.25">
      <c r="A46" s="33"/>
      <c r="B46" s="34"/>
      <c r="C46" s="34"/>
      <c r="D46" s="34"/>
      <c r="E46" s="34"/>
      <c r="F46" s="34"/>
      <c r="G46" s="35"/>
      <c r="H46" s="36"/>
      <c r="I46" s="34"/>
    </row>
    <row r="47" spans="1:9" ht="387.95" customHeight="1" x14ac:dyDescent="0.25">
      <c r="A47" s="33"/>
      <c r="B47" s="374"/>
      <c r="C47" s="374"/>
      <c r="D47" s="374"/>
      <c r="E47" s="374"/>
      <c r="F47" s="374"/>
      <c r="G47" s="374"/>
      <c r="H47" s="374"/>
      <c r="I47" s="34"/>
    </row>
    <row r="48" spans="1:9" x14ac:dyDescent="0.25">
      <c r="A48" s="33"/>
      <c r="B48" s="34"/>
      <c r="C48" s="34"/>
      <c r="D48" s="34"/>
      <c r="E48" s="34"/>
      <c r="F48" s="34"/>
      <c r="G48" s="34"/>
      <c r="H48" s="34"/>
      <c r="I48" s="34"/>
    </row>
    <row r="49" spans="1:10" x14ac:dyDescent="0.25">
      <c r="A49" s="34"/>
      <c r="B49" s="34"/>
      <c r="C49" s="34"/>
      <c r="D49" s="34"/>
      <c r="E49" s="34"/>
      <c r="F49" s="34"/>
      <c r="G49" s="34"/>
      <c r="H49" s="34"/>
      <c r="I49" s="34"/>
    </row>
    <row r="50" spans="1:10" ht="15.95" customHeight="1" thickBot="1" x14ac:dyDescent="0.3">
      <c r="A50" s="33"/>
      <c r="B50" s="34"/>
      <c r="C50" s="34"/>
      <c r="D50" s="34"/>
      <c r="E50" s="34"/>
      <c r="F50" s="34"/>
      <c r="G50" s="34"/>
      <c r="H50" s="34"/>
      <c r="I50" s="34"/>
    </row>
    <row r="51" spans="1:10" ht="18" customHeight="1" thickBot="1" x14ac:dyDescent="0.3">
      <c r="A51" s="33"/>
      <c r="B51" s="366" t="s">
        <v>210</v>
      </c>
      <c r="C51" s="83">
        <v>1</v>
      </c>
      <c r="D51" s="84">
        <v>2</v>
      </c>
      <c r="E51" s="85">
        <v>3</v>
      </c>
      <c r="F51" s="83">
        <v>4</v>
      </c>
      <c r="G51" s="86">
        <v>5</v>
      </c>
      <c r="H51" s="78" t="s">
        <v>192</v>
      </c>
      <c r="I51" s="34"/>
    </row>
    <row r="52" spans="1:10" ht="16.5" thickBot="1" x14ac:dyDescent="0.3">
      <c r="A52" s="33"/>
      <c r="B52" s="371"/>
      <c r="C52" s="37" t="s">
        <v>193</v>
      </c>
      <c r="D52" s="38" t="s">
        <v>194</v>
      </c>
      <c r="E52" s="39" t="s">
        <v>195</v>
      </c>
      <c r="F52" s="20" t="s">
        <v>196</v>
      </c>
      <c r="G52" s="38" t="s">
        <v>197</v>
      </c>
      <c r="H52" s="70">
        <f>IFERROR(AVERAGE(H53:H55),"faltan datos")</f>
        <v>5</v>
      </c>
      <c r="I52" s="34"/>
    </row>
    <row r="53" spans="1:10" x14ac:dyDescent="0.25">
      <c r="A53" s="33"/>
      <c r="B53" s="41" t="s">
        <v>211</v>
      </c>
      <c r="C53" s="25">
        <v>1</v>
      </c>
      <c r="D53" s="25">
        <f>AVERAGEIFS('1.1.Atributos MAE'!$N$6:$N$65,'1.1.Atributos MAE'!$B$6:$B$65,D51)</f>
        <v>1</v>
      </c>
      <c r="E53" s="25">
        <f>AVERAGEIFS('1.1.Atributos MAE'!$N6:$N65,'1.1.Atributos MAE'!$B$6:$B$65,E51)</f>
        <v>1</v>
      </c>
      <c r="F53" s="25">
        <f>AVERAGEIFS('1.1.Atributos MAE'!$N6:$N65,'1.1.Atributos MAE'!$B$6:$B$65,F51)</f>
        <v>1</v>
      </c>
      <c r="G53" s="65">
        <f>AVERAGEIFS('1.1.Atributos MAE'!$N6:$N65,'1.1.Atributos MAE'!$B$6:$B$65,G51)</f>
        <v>1</v>
      </c>
      <c r="H53" s="71">
        <f>AVERAGE(C53:G53)*COUNT(C53:G53)</f>
        <v>5</v>
      </c>
      <c r="I53" s="34"/>
    </row>
    <row r="54" spans="1:10" x14ac:dyDescent="0.25">
      <c r="A54" s="33"/>
      <c r="B54" s="42" t="s">
        <v>208</v>
      </c>
      <c r="C54" s="16">
        <v>1</v>
      </c>
      <c r="D54" s="16">
        <f>AVERAGEIFS('1.1.Atributos MAE'!$O$6:$O$65,'1.1.Atributos MAE'!$B$6:$B$65,D51)</f>
        <v>1</v>
      </c>
      <c r="E54" s="16">
        <f>AVERAGEIFS('1.1.Atributos MAE'!$O$6:$O$65,'1.1.Atributos MAE'!$B$6:$B$65,E51)</f>
        <v>1</v>
      </c>
      <c r="F54" s="16">
        <f>AVERAGEIFS('1.1.Atributos MAE'!$O$6:$O$65,'1.1.Atributos MAE'!$B$6:$B$65,F51)</f>
        <v>1</v>
      </c>
      <c r="G54" s="66">
        <f>AVERAGEIFS('1.1.Atributos MAE'!$O$6:$O$65,'1.1.Atributos MAE'!$B$6:$B$65,G51)</f>
        <v>1</v>
      </c>
      <c r="H54" s="71">
        <f>AVERAGE(C54:G54)*COUNT(C54:G54)</f>
        <v>5</v>
      </c>
      <c r="I54" s="34"/>
      <c r="J54" s="59"/>
    </row>
    <row r="55" spans="1:10" ht="16.5" thickBot="1" x14ac:dyDescent="0.3">
      <c r="A55" s="33"/>
      <c r="B55" s="40" t="s">
        <v>79</v>
      </c>
      <c r="C55" s="43">
        <v>1</v>
      </c>
      <c r="D55" s="43">
        <f>AVERAGEIFS('1.1.Atributos MAE'!$P$6:$P$65,'1.1.Atributos MAE'!$B$6:$B$65,D51)</f>
        <v>1</v>
      </c>
      <c r="E55" s="43">
        <f>AVERAGEIFS('1.1.Atributos MAE'!$P$6:$P$65,'1.1.Atributos MAE'!$B$6:$B$65,E51)</f>
        <v>1</v>
      </c>
      <c r="F55" s="43">
        <f>AVERAGEIFS('1.1.Atributos MAE'!$P$6:$P$65,'1.1.Atributos MAE'!$B$6:$B$65,F51)</f>
        <v>1</v>
      </c>
      <c r="G55" s="67">
        <f>AVERAGEIFS('1.1.Atributos MAE'!$P$6:$P$65,'1.1.Atributos MAE'!$B$6:$B$65,G51)</f>
        <v>1</v>
      </c>
      <c r="H55" s="71">
        <f>AVERAGE(C55:G55)*COUNT(C55:G55)</f>
        <v>5</v>
      </c>
      <c r="I55" s="34"/>
    </row>
    <row r="56" spans="1:10" x14ac:dyDescent="0.25">
      <c r="A56" s="33"/>
      <c r="B56" s="34"/>
      <c r="C56" s="34"/>
      <c r="D56" s="34"/>
      <c r="E56" s="34"/>
      <c r="F56" s="34"/>
      <c r="G56" s="35"/>
      <c r="H56" s="34"/>
      <c r="I56" s="34"/>
    </row>
    <row r="57" spans="1:10" x14ac:dyDescent="0.25">
      <c r="A57" s="33"/>
      <c r="B57" s="34"/>
      <c r="C57" s="34"/>
      <c r="D57" s="34"/>
      <c r="E57" s="34"/>
      <c r="F57" s="34"/>
      <c r="G57" s="34"/>
      <c r="H57" s="34"/>
      <c r="I57" s="34"/>
    </row>
    <row r="58" spans="1:10" x14ac:dyDescent="0.25">
      <c r="A58" s="33"/>
      <c r="B58" s="34"/>
      <c r="C58" s="34"/>
      <c r="D58" s="34"/>
      <c r="E58" s="34"/>
      <c r="F58" s="34"/>
      <c r="G58" s="34"/>
      <c r="H58" s="34"/>
      <c r="I58" s="34"/>
    </row>
    <row r="59" spans="1:10" ht="409.5" customHeight="1" x14ac:dyDescent="0.25">
      <c r="A59" s="33"/>
      <c r="B59" s="365"/>
      <c r="C59" s="365"/>
      <c r="D59" s="365"/>
      <c r="E59" s="365"/>
      <c r="F59" s="365"/>
      <c r="G59" s="365"/>
      <c r="H59" s="365"/>
      <c r="I59" s="34"/>
    </row>
    <row r="60" spans="1:10" x14ac:dyDescent="0.25">
      <c r="A60" s="33"/>
      <c r="B60" s="34"/>
      <c r="C60" s="34"/>
      <c r="D60" s="34"/>
      <c r="E60" s="34"/>
      <c r="F60" s="34"/>
      <c r="G60" s="34"/>
      <c r="H60" s="34"/>
      <c r="I60" s="34"/>
    </row>
    <row r="61" spans="1:10" ht="18" customHeight="1" thickBot="1" x14ac:dyDescent="0.3">
      <c r="A61" s="33"/>
      <c r="B61" s="34"/>
      <c r="C61" s="34"/>
      <c r="D61" s="34"/>
      <c r="E61" s="34"/>
      <c r="F61" s="34"/>
      <c r="G61" s="34"/>
      <c r="H61" s="34"/>
      <c r="I61" s="34"/>
    </row>
    <row r="62" spans="1:10" ht="17.100000000000001" customHeight="1" thickBot="1" x14ac:dyDescent="0.3">
      <c r="A62" s="33"/>
      <c r="B62" s="366" t="s">
        <v>212</v>
      </c>
      <c r="C62" s="44">
        <v>1</v>
      </c>
      <c r="D62" s="45">
        <v>2</v>
      </c>
      <c r="E62" s="46">
        <v>3</v>
      </c>
      <c r="F62" s="44">
        <v>4</v>
      </c>
      <c r="G62" s="77">
        <v>5</v>
      </c>
      <c r="H62" s="78" t="s">
        <v>192</v>
      </c>
      <c r="I62" s="34"/>
    </row>
    <row r="63" spans="1:10" ht="16.5" thickBot="1" x14ac:dyDescent="0.3">
      <c r="A63" s="33"/>
      <c r="B63" s="367"/>
      <c r="C63" s="37" t="s">
        <v>193</v>
      </c>
      <c r="D63" s="38" t="s">
        <v>194</v>
      </c>
      <c r="E63" s="39" t="s">
        <v>195</v>
      </c>
      <c r="F63" s="20" t="s">
        <v>196</v>
      </c>
      <c r="G63" s="38" t="s">
        <v>197</v>
      </c>
      <c r="H63" s="70">
        <f>IFERROR(AVERAGE(H64:H67),"Faltan datos")</f>
        <v>5</v>
      </c>
      <c r="I63" s="34"/>
    </row>
    <row r="64" spans="1:10" x14ac:dyDescent="0.25">
      <c r="A64" s="33"/>
      <c r="B64" s="41" t="s">
        <v>85</v>
      </c>
      <c r="C64" s="25">
        <v>1</v>
      </c>
      <c r="D64" s="25">
        <f>AVERAGEIFS('1.1.Atributos MAE'!$Q$6:$Q$65,'1.1.Atributos MAE'!$B$6:$B$65,D62)</f>
        <v>1</v>
      </c>
      <c r="E64" s="25">
        <f>AVERAGEIFS('1.1.Atributos MAE'!R$6:R$65,'1.1.Atributos MAE'!$B$6:$B$65,E62)</f>
        <v>1</v>
      </c>
      <c r="F64" s="25">
        <f>AVERAGEIFS('1.1.Atributos MAE'!S$6:S$65,'1.1.Atributos MAE'!$B$6:$B$65,F62)</f>
        <v>1</v>
      </c>
      <c r="G64" s="65">
        <f>AVERAGEIFS('1.1.Atributos MAE'!T$6:T$65,'1.1.Atributos MAE'!$B$6:$B$65,G62)</f>
        <v>1</v>
      </c>
      <c r="H64" s="71">
        <f>AVERAGE(C64:G64)*COUNT(C64:G64)</f>
        <v>5</v>
      </c>
      <c r="I64" s="34"/>
    </row>
    <row r="65" spans="1:9" x14ac:dyDescent="0.25">
      <c r="A65" s="33"/>
      <c r="B65" s="42" t="s">
        <v>86</v>
      </c>
      <c r="C65" s="16">
        <v>1</v>
      </c>
      <c r="D65" s="16">
        <f>AVERAGEIFS('1.1.Atributos MAE'!$R$6:$R$65,'1.1.Atributos MAE'!$B$6:$B$65,D62)</f>
        <v>1</v>
      </c>
      <c r="E65" s="16">
        <f>AVERAGEIFS('1.1.Atributos MAE'!$R$6:$R$65,'1.1.Atributos MAE'!$B$6:$B$65,E62)</f>
        <v>1</v>
      </c>
      <c r="F65" s="16">
        <f>AVERAGEIFS('1.1.Atributos MAE'!$R$6:$R$65,'1.1.Atributos MAE'!$B$6:$B$65,F62)</f>
        <v>1</v>
      </c>
      <c r="G65" s="66">
        <f>AVERAGEIFS('1.1.Atributos MAE'!$R$6:$R$65,'1.1.Atributos MAE'!$B$6:$B$65,G62)</f>
        <v>1</v>
      </c>
      <c r="H65" s="71">
        <f>AVERAGE(C65:G65)*COUNT(C65:G65)</f>
        <v>5</v>
      </c>
      <c r="I65" s="34"/>
    </row>
    <row r="66" spans="1:9" x14ac:dyDescent="0.25">
      <c r="A66" s="33"/>
      <c r="B66" s="42" t="s">
        <v>87</v>
      </c>
      <c r="C66" s="16">
        <v>1</v>
      </c>
      <c r="D66" s="16">
        <f>AVERAGEIFS('1.1.Atributos MAE'!$S$6:$S$65,'1.1.Atributos MAE'!$B$6:$B$65,D62)</f>
        <v>1</v>
      </c>
      <c r="E66" s="16">
        <f>AVERAGEIFS('1.1.Atributos MAE'!$S$6:$S$65,'1.1.Atributos MAE'!$B$6:$B$65,E62)</f>
        <v>1</v>
      </c>
      <c r="F66" s="16">
        <f>AVERAGEIFS('1.1.Atributos MAE'!$S$6:$S$65,'1.1.Atributos MAE'!$B$6:$B$65,F62)</f>
        <v>1</v>
      </c>
      <c r="G66" s="66">
        <f>AVERAGEIFS('1.1.Atributos MAE'!$S$6:$S$65,'1.1.Atributos MAE'!$B$6:$B$65,G62)</f>
        <v>1</v>
      </c>
      <c r="H66" s="71">
        <f>AVERAGE(C66:G66)*COUNT(C66:G66)</f>
        <v>5</v>
      </c>
      <c r="I66" s="34"/>
    </row>
    <row r="67" spans="1:9" ht="16.5" thickBot="1" x14ac:dyDescent="0.3">
      <c r="A67" s="33"/>
      <c r="B67" s="40" t="s">
        <v>213</v>
      </c>
      <c r="C67" s="43">
        <v>1</v>
      </c>
      <c r="D67" s="43">
        <f>AVERAGEIFS('1.1.Atributos MAE'!$T$6:$T$65,'1.1.Atributos MAE'!$B$6:$B$65,D62)</f>
        <v>1</v>
      </c>
      <c r="E67" s="127">
        <f>IFERROR(AVERAGEIFS('1.1.Atributos MAE'!$T$6:$T$65,'1.1.Atributos MAE'!$B$6:$B$65,E62),0)</f>
        <v>1</v>
      </c>
      <c r="F67" s="43">
        <f>AVERAGEIFS('1.1.Atributos MAE'!$T$6:$T$65,'1.1.Atributos MAE'!$B$6:$B$65,F62)</f>
        <v>1</v>
      </c>
      <c r="G67" s="67">
        <f>AVERAGEIFS('1.1.Atributos MAE'!$T$6:$T$65,'1.1.Atributos MAE'!$B$6:$B$65,G62)</f>
        <v>1</v>
      </c>
      <c r="H67" s="71">
        <f>AVERAGE(C67:G67)*COUNT(C67:G67)</f>
        <v>5</v>
      </c>
      <c r="I67" s="34"/>
    </row>
    <row r="68" spans="1:9" x14ac:dyDescent="0.25">
      <c r="A68" s="33"/>
      <c r="B68" s="34"/>
      <c r="C68" s="34"/>
      <c r="D68" s="34"/>
      <c r="E68" s="34"/>
      <c r="F68" s="34"/>
      <c r="G68" s="34"/>
      <c r="H68" s="34"/>
      <c r="I68" s="34"/>
    </row>
    <row r="69" spans="1:9" x14ac:dyDescent="0.25">
      <c r="A69" s="33"/>
      <c r="B69" s="34"/>
      <c r="C69" s="34"/>
      <c r="D69" s="34"/>
      <c r="E69" s="34"/>
      <c r="F69" s="34"/>
      <c r="G69" s="34"/>
      <c r="H69" s="34"/>
      <c r="I69" s="34"/>
    </row>
    <row r="70" spans="1:9" x14ac:dyDescent="0.25">
      <c r="A70" s="33"/>
      <c r="B70" s="34"/>
      <c r="C70" s="34"/>
      <c r="D70" s="34"/>
      <c r="E70" s="34"/>
      <c r="F70" s="34"/>
      <c r="G70" s="34"/>
      <c r="H70" s="34"/>
      <c r="I70" s="34"/>
    </row>
    <row r="71" spans="1:9" x14ac:dyDescent="0.25">
      <c r="A71" s="33"/>
      <c r="B71" s="34"/>
      <c r="C71" s="34"/>
      <c r="D71" s="34"/>
      <c r="E71" s="34"/>
      <c r="F71" s="34"/>
      <c r="G71" s="34"/>
      <c r="H71" s="34"/>
      <c r="I71" s="34"/>
    </row>
    <row r="72" spans="1:9" x14ac:dyDescent="0.25">
      <c r="A72" s="33"/>
      <c r="B72" s="34"/>
      <c r="C72" s="34"/>
      <c r="D72" s="34"/>
      <c r="E72" s="34"/>
      <c r="F72" s="34"/>
      <c r="G72" s="34"/>
      <c r="H72" s="34"/>
      <c r="I72" s="34"/>
    </row>
    <row r="73" spans="1:9" x14ac:dyDescent="0.25">
      <c r="A73" s="33"/>
      <c r="B73" s="34"/>
      <c r="C73" s="34"/>
      <c r="D73" s="34"/>
      <c r="E73" s="34"/>
      <c r="F73" s="34"/>
      <c r="G73" s="34"/>
      <c r="H73" s="34"/>
      <c r="I73" s="34"/>
    </row>
  </sheetData>
  <sheetProtection algorithmName="SHA-512" hashValue="sMggrPsSk3wjVeHmsryjxubY7sHrXibdnwYbUZguFdTAbVgyUZg491EBFz2r6VvEq7lBuyZtrOwOfvJiuqPfEw==" saltValue="FcPtaRBuuDgipUkazGFhHA==" spinCount="100000" autoFilter="0" pivotTables="0"/>
  <mergeCells count="11">
    <mergeCell ref="B2:H6"/>
    <mergeCell ref="B27:B28"/>
    <mergeCell ref="B39:B40"/>
    <mergeCell ref="B51:B52"/>
    <mergeCell ref="B62:B63"/>
    <mergeCell ref="B14:H14"/>
    <mergeCell ref="B24:H24"/>
    <mergeCell ref="B35:H35"/>
    <mergeCell ref="B47:H47"/>
    <mergeCell ref="B59:H59"/>
    <mergeCell ref="B16:B17"/>
  </mergeCells>
  <phoneticPr fontId="3" type="noConversion"/>
  <hyperlinks>
    <hyperlink ref="A1" location="Inicio!A1" display="Inicio" xr:uid="{481A677D-03CB-D245-9763-6DDB5650CBF1}"/>
  </hyperlinks>
  <pageMargins left="0.7" right="0.7" top="0.75" bottom="0.75" header="0.3" footer="0.3"/>
  <pageSetup scale="55" orientation="portrait" horizontalDpi="0" verticalDpi="0"/>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C6612-3E6B-3141-89D8-313DB20A53CD}">
  <sheetPr codeName="Hoja5"/>
  <dimension ref="A1:U65"/>
  <sheetViews>
    <sheetView showGridLines="0" zoomScale="80" zoomScaleNormal="80" workbookViewId="0">
      <pane xSplit="5" ySplit="5" topLeftCell="I38" activePane="bottomRight" state="frozen"/>
      <selection pane="topRight" activeCell="F1" sqref="F1"/>
      <selection pane="bottomLeft" activeCell="A6" sqref="A6"/>
      <selection pane="bottomRight"/>
    </sheetView>
  </sheetViews>
  <sheetFormatPr baseColWidth="10" defaultColWidth="10.875" defaultRowHeight="15.75" x14ac:dyDescent="0.25"/>
  <cols>
    <col min="1" max="1" width="10.875" style="99"/>
    <col min="2" max="3" width="10.875" style="11"/>
    <col min="4" max="4" width="41.625" style="99" customWidth="1"/>
    <col min="5" max="5" width="9.625" style="116" customWidth="1"/>
    <col min="6" max="20" width="16.875" style="10" customWidth="1"/>
    <col min="21" max="21" width="11" customWidth="1"/>
    <col min="22" max="16384" width="10.875" style="10"/>
  </cols>
  <sheetData>
    <row r="1" spans="1:20" x14ac:dyDescent="0.25">
      <c r="A1" s="273" t="s">
        <v>52</v>
      </c>
    </row>
    <row r="2" spans="1:20" ht="72.95" customHeight="1" x14ac:dyDescent="0.25">
      <c r="A2" s="375" t="s">
        <v>27</v>
      </c>
      <c r="B2" s="375"/>
      <c r="C2" s="375"/>
      <c r="D2" s="375"/>
      <c r="E2" s="375"/>
      <c r="F2" s="375"/>
      <c r="G2" s="375"/>
      <c r="H2" s="375"/>
      <c r="I2" s="375"/>
      <c r="J2" s="375"/>
      <c r="K2" s="375"/>
      <c r="L2" s="375"/>
      <c r="M2" s="375"/>
      <c r="N2" s="375"/>
      <c r="O2" s="375"/>
      <c r="P2" s="375"/>
      <c r="Q2" s="375"/>
      <c r="R2" s="375"/>
      <c r="S2" s="375"/>
      <c r="T2" s="375"/>
    </row>
    <row r="3" spans="1:20" ht="16.5" thickBot="1" x14ac:dyDescent="0.3"/>
    <row r="4" spans="1:20" ht="47.1" customHeight="1" thickBot="1" x14ac:dyDescent="0.4">
      <c r="B4" s="382"/>
      <c r="C4" s="382"/>
      <c r="D4" s="382"/>
      <c r="E4" s="383"/>
      <c r="F4" s="376" t="s">
        <v>57</v>
      </c>
      <c r="G4" s="377"/>
      <c r="H4" s="377"/>
      <c r="I4" s="378"/>
      <c r="J4" s="379" t="s">
        <v>67</v>
      </c>
      <c r="K4" s="380"/>
      <c r="L4" s="380"/>
      <c r="M4" s="381"/>
      <c r="N4" s="379" t="s">
        <v>214</v>
      </c>
      <c r="O4" s="380"/>
      <c r="P4" s="381"/>
      <c r="Q4" s="379" t="s">
        <v>84</v>
      </c>
      <c r="R4" s="380"/>
      <c r="S4" s="380"/>
      <c r="T4" s="381"/>
    </row>
    <row r="5" spans="1:20" ht="75.75" thickBot="1" x14ac:dyDescent="0.3">
      <c r="A5" s="275" t="s">
        <v>215</v>
      </c>
      <c r="B5" s="275" t="s">
        <v>216</v>
      </c>
      <c r="C5" s="275" t="s">
        <v>217</v>
      </c>
      <c r="D5" s="275" t="s">
        <v>218</v>
      </c>
      <c r="E5" s="276" t="s">
        <v>192</v>
      </c>
      <c r="F5" s="279" t="s">
        <v>58</v>
      </c>
      <c r="G5" s="280" t="s">
        <v>219</v>
      </c>
      <c r="H5" s="280" t="s">
        <v>206</v>
      </c>
      <c r="I5" s="288" t="s">
        <v>61</v>
      </c>
      <c r="J5" s="277" t="s">
        <v>68</v>
      </c>
      <c r="K5" s="278" t="s">
        <v>69</v>
      </c>
      <c r="L5" s="278" t="s">
        <v>70</v>
      </c>
      <c r="M5" s="278" t="s">
        <v>71</v>
      </c>
      <c r="N5" s="278" t="s">
        <v>78</v>
      </c>
      <c r="O5" s="278" t="s">
        <v>70</v>
      </c>
      <c r="P5" s="278" t="s">
        <v>220</v>
      </c>
      <c r="Q5" s="278" t="s">
        <v>85</v>
      </c>
      <c r="R5" s="278" t="s">
        <v>86</v>
      </c>
      <c r="S5" s="278" t="s">
        <v>87</v>
      </c>
      <c r="T5" s="278" t="s">
        <v>88</v>
      </c>
    </row>
    <row r="6" spans="1:20" ht="60" customHeight="1" x14ac:dyDescent="0.25">
      <c r="A6" s="207">
        <v>0</v>
      </c>
      <c r="B6" s="208">
        <v>1</v>
      </c>
      <c r="C6" s="91" t="s">
        <v>221</v>
      </c>
      <c r="D6" s="92" t="s">
        <v>222</v>
      </c>
      <c r="E6" s="209">
        <f>IFERROR(VLOOKUP(A6,'1.2.Evaluación MAE'!$A$6:$C$65,3,0),0)</f>
        <v>1</v>
      </c>
      <c r="F6" s="210"/>
      <c r="G6" s="211"/>
      <c r="H6" s="211"/>
      <c r="I6" s="212"/>
      <c r="J6" s="213"/>
      <c r="K6" s="214"/>
      <c r="L6" s="214"/>
      <c r="M6" s="215"/>
      <c r="N6" s="213"/>
      <c r="O6" s="214"/>
      <c r="P6" s="215"/>
      <c r="Q6" s="213"/>
      <c r="R6" s="214"/>
      <c r="S6" s="214"/>
      <c r="T6" s="215"/>
    </row>
    <row r="7" spans="1:20" ht="60" customHeight="1" x14ac:dyDescent="0.25">
      <c r="A7" s="93">
        <v>1</v>
      </c>
      <c r="B7" s="90">
        <v>2</v>
      </c>
      <c r="C7" s="90" t="s">
        <v>223</v>
      </c>
      <c r="D7" s="94" t="s">
        <v>224</v>
      </c>
      <c r="E7" s="216">
        <f>IFERROR(VLOOKUP(A7,'1.2.Evaluación MAE'!$A$6:$C$65,3,0),0)</f>
        <v>1</v>
      </c>
      <c r="F7" s="217">
        <f>E7</f>
        <v>1</v>
      </c>
      <c r="G7" s="218"/>
      <c r="H7" s="218"/>
      <c r="I7" s="219"/>
      <c r="J7" s="217">
        <f>E7</f>
        <v>1</v>
      </c>
      <c r="K7" s="218"/>
      <c r="L7" s="218"/>
      <c r="M7" s="219"/>
      <c r="N7" s="220"/>
      <c r="O7" s="221">
        <f t="shared" ref="O7:O13" si="0">E7</f>
        <v>1</v>
      </c>
      <c r="P7" s="219"/>
      <c r="Q7" s="217">
        <f>E7</f>
        <v>1</v>
      </c>
      <c r="R7" s="218"/>
      <c r="S7" s="218"/>
      <c r="T7" s="219"/>
    </row>
    <row r="8" spans="1:20" ht="60" customHeight="1" x14ac:dyDescent="0.25">
      <c r="A8" s="93">
        <v>2</v>
      </c>
      <c r="B8" s="90">
        <v>2</v>
      </c>
      <c r="C8" s="90" t="s">
        <v>223</v>
      </c>
      <c r="D8" s="94" t="s">
        <v>225</v>
      </c>
      <c r="E8" s="216">
        <f>IFERROR(VLOOKUP(A8,'1.2.Evaluación MAE'!$A$6:$C$65,3,0),0)</f>
        <v>1</v>
      </c>
      <c r="F8" s="217">
        <f>E8</f>
        <v>1</v>
      </c>
      <c r="G8" s="218"/>
      <c r="H8" s="218"/>
      <c r="I8" s="219"/>
      <c r="J8" s="217">
        <f>E8</f>
        <v>1</v>
      </c>
      <c r="K8" s="218"/>
      <c r="L8" s="218"/>
      <c r="M8" s="219"/>
      <c r="N8" s="220"/>
      <c r="O8" s="221">
        <f t="shared" si="0"/>
        <v>1</v>
      </c>
      <c r="P8" s="219"/>
      <c r="Q8" s="217">
        <f t="shared" ref="Q8:Q10" si="1">E8</f>
        <v>1</v>
      </c>
      <c r="R8" s="218"/>
      <c r="S8" s="218"/>
      <c r="T8" s="219"/>
    </row>
    <row r="9" spans="1:20" ht="60" customHeight="1" x14ac:dyDescent="0.25">
      <c r="A9" s="93">
        <v>3</v>
      </c>
      <c r="B9" s="90">
        <v>2</v>
      </c>
      <c r="C9" s="90" t="s">
        <v>223</v>
      </c>
      <c r="D9" s="94" t="s">
        <v>226</v>
      </c>
      <c r="E9" s="216">
        <f>IFERROR(VLOOKUP(A9,'1.2.Evaluación MAE'!$A$6:$C$65,3,0),0)</f>
        <v>1</v>
      </c>
      <c r="F9" s="217">
        <f>E9</f>
        <v>1</v>
      </c>
      <c r="G9" s="218"/>
      <c r="H9" s="218"/>
      <c r="I9" s="219"/>
      <c r="J9" s="217">
        <f>E9</f>
        <v>1</v>
      </c>
      <c r="K9" s="218"/>
      <c r="L9" s="218"/>
      <c r="M9" s="219"/>
      <c r="N9" s="220"/>
      <c r="O9" s="221">
        <f t="shared" si="0"/>
        <v>1</v>
      </c>
      <c r="P9" s="219"/>
      <c r="Q9" s="217">
        <f t="shared" si="1"/>
        <v>1</v>
      </c>
      <c r="R9" s="218"/>
      <c r="S9" s="218"/>
      <c r="T9" s="219"/>
    </row>
    <row r="10" spans="1:20" ht="60" customHeight="1" x14ac:dyDescent="0.25">
      <c r="A10" s="93">
        <v>4</v>
      </c>
      <c r="B10" s="90">
        <v>2</v>
      </c>
      <c r="C10" s="90" t="s">
        <v>223</v>
      </c>
      <c r="D10" s="94" t="s">
        <v>227</v>
      </c>
      <c r="E10" s="216">
        <f>IFERROR(VLOOKUP(A10,'1.2.Evaluación MAE'!$A$6:$C$65,3,0),0)</f>
        <v>1</v>
      </c>
      <c r="F10" s="220"/>
      <c r="G10" s="221">
        <f>E10</f>
        <v>1</v>
      </c>
      <c r="H10" s="218"/>
      <c r="I10" s="219"/>
      <c r="J10" s="217">
        <f>E10</f>
        <v>1</v>
      </c>
      <c r="K10" s="218"/>
      <c r="L10" s="218"/>
      <c r="M10" s="219"/>
      <c r="N10" s="220"/>
      <c r="O10" s="221">
        <f t="shared" si="0"/>
        <v>1</v>
      </c>
      <c r="P10" s="219"/>
      <c r="Q10" s="217">
        <f t="shared" si="1"/>
        <v>1</v>
      </c>
      <c r="R10" s="218"/>
      <c r="S10" s="218"/>
      <c r="T10" s="219"/>
    </row>
    <row r="11" spans="1:20" ht="60" customHeight="1" x14ac:dyDescent="0.25">
      <c r="A11" s="93">
        <v>5</v>
      </c>
      <c r="B11" s="90">
        <v>2</v>
      </c>
      <c r="C11" s="90" t="s">
        <v>223</v>
      </c>
      <c r="D11" s="94" t="s">
        <v>228</v>
      </c>
      <c r="E11" s="216">
        <f>IFERROR(VLOOKUP(A11,'1.2.Evaluación MAE'!$A$6:$C$65,3,0),0)</f>
        <v>1</v>
      </c>
      <c r="F11" s="220"/>
      <c r="G11" s="221">
        <f>E11</f>
        <v>1</v>
      </c>
      <c r="H11" s="218"/>
      <c r="I11" s="219"/>
      <c r="J11" s="217">
        <f>E11</f>
        <v>1</v>
      </c>
      <c r="K11" s="218"/>
      <c r="L11" s="218"/>
      <c r="M11" s="219"/>
      <c r="N11" s="220"/>
      <c r="O11" s="221">
        <f t="shared" si="0"/>
        <v>1</v>
      </c>
      <c r="P11" s="219"/>
      <c r="Q11" s="220"/>
      <c r="R11" s="221">
        <f>E11</f>
        <v>1</v>
      </c>
      <c r="S11" s="218"/>
      <c r="T11" s="219"/>
    </row>
    <row r="12" spans="1:20" ht="60" customHeight="1" x14ac:dyDescent="0.25">
      <c r="A12" s="93">
        <v>6</v>
      </c>
      <c r="B12" s="90">
        <v>2</v>
      </c>
      <c r="C12" s="90" t="s">
        <v>223</v>
      </c>
      <c r="D12" s="95" t="s">
        <v>229</v>
      </c>
      <c r="E12" s="216">
        <f>IFERROR(VLOOKUP(A12,'1.2.Evaluación MAE'!$A$6:$C$65,3,0),0)</f>
        <v>1</v>
      </c>
      <c r="F12" s="220"/>
      <c r="G12" s="218"/>
      <c r="H12" s="221">
        <f>E12</f>
        <v>1</v>
      </c>
      <c r="I12" s="219"/>
      <c r="J12" s="220"/>
      <c r="K12" s="221">
        <f>E12</f>
        <v>1</v>
      </c>
      <c r="L12" s="218"/>
      <c r="M12" s="219"/>
      <c r="N12" s="220"/>
      <c r="O12" s="221">
        <f t="shared" si="0"/>
        <v>1</v>
      </c>
      <c r="P12" s="219"/>
      <c r="Q12" s="220"/>
      <c r="R12" s="218"/>
      <c r="S12" s="221">
        <f>E12</f>
        <v>1</v>
      </c>
      <c r="T12" s="219"/>
    </row>
    <row r="13" spans="1:20" ht="60" customHeight="1" x14ac:dyDescent="0.25">
      <c r="A13" s="93">
        <v>7</v>
      </c>
      <c r="B13" s="90">
        <v>2</v>
      </c>
      <c r="C13" s="90" t="s">
        <v>223</v>
      </c>
      <c r="D13" s="94" t="s">
        <v>230</v>
      </c>
      <c r="E13" s="216">
        <f>IFERROR(VLOOKUP(A13,'1.2.Evaluación MAE'!$A$6:$C$65,3,0),0)</f>
        <v>1</v>
      </c>
      <c r="F13" s="220"/>
      <c r="G13" s="221">
        <f>E13</f>
        <v>1</v>
      </c>
      <c r="H13" s="218"/>
      <c r="I13" s="219"/>
      <c r="J13" s="220"/>
      <c r="K13" s="221">
        <f>E13</f>
        <v>1</v>
      </c>
      <c r="L13" s="218"/>
      <c r="M13" s="219"/>
      <c r="N13" s="220"/>
      <c r="O13" s="221">
        <f t="shared" si="0"/>
        <v>1</v>
      </c>
      <c r="P13" s="219"/>
      <c r="Q13" s="220"/>
      <c r="R13" s="218"/>
      <c r="S13" s="218"/>
      <c r="T13" s="222">
        <f>E13</f>
        <v>1</v>
      </c>
    </row>
    <row r="14" spans="1:20" ht="60" customHeight="1" x14ac:dyDescent="0.25">
      <c r="A14" s="93">
        <v>8</v>
      </c>
      <c r="B14" s="90">
        <v>2</v>
      </c>
      <c r="C14" s="90" t="s">
        <v>223</v>
      </c>
      <c r="D14" s="95" t="s">
        <v>231</v>
      </c>
      <c r="E14" s="216">
        <f>IFERROR(VLOOKUP(A14,'1.2.Evaluación MAE'!$A$6:$C$65,3,0),0)</f>
        <v>1</v>
      </c>
      <c r="F14" s="220"/>
      <c r="G14" s="218"/>
      <c r="H14" s="218"/>
      <c r="I14" s="222">
        <f>E14</f>
        <v>1</v>
      </c>
      <c r="J14" s="220"/>
      <c r="K14" s="218"/>
      <c r="L14" s="218"/>
      <c r="M14" s="222">
        <f>E14</f>
        <v>1</v>
      </c>
      <c r="N14" s="220"/>
      <c r="O14" s="218"/>
      <c r="P14" s="222">
        <f>E14</f>
        <v>1</v>
      </c>
      <c r="Q14" s="220"/>
      <c r="R14" s="218"/>
      <c r="S14" s="221">
        <f>E14</f>
        <v>1</v>
      </c>
      <c r="T14" s="219"/>
    </row>
    <row r="15" spans="1:20" ht="60" customHeight="1" x14ac:dyDescent="0.25">
      <c r="A15" s="93">
        <v>9</v>
      </c>
      <c r="B15" s="90">
        <v>2</v>
      </c>
      <c r="C15" s="90" t="s">
        <v>232</v>
      </c>
      <c r="D15" s="94" t="s">
        <v>233</v>
      </c>
      <c r="E15" s="223">
        <f>IFERROR(VLOOKUP(A15,'1.2.Evaluación MAE'!$A$6:$C$65,3,0),0)</f>
        <v>1</v>
      </c>
      <c r="F15" s="224">
        <f>E15</f>
        <v>1</v>
      </c>
      <c r="G15" s="218"/>
      <c r="H15" s="218"/>
      <c r="I15" s="219"/>
      <c r="J15" s="224">
        <f>E15</f>
        <v>1</v>
      </c>
      <c r="K15" s="218"/>
      <c r="L15" s="218"/>
      <c r="M15" s="219"/>
      <c r="N15" s="220"/>
      <c r="O15" s="225">
        <f t="shared" ref="O15:O22" si="2">E15</f>
        <v>1</v>
      </c>
      <c r="P15" s="219"/>
      <c r="Q15" s="224">
        <f>E15</f>
        <v>1</v>
      </c>
      <c r="R15" s="218"/>
      <c r="S15" s="218"/>
      <c r="T15" s="219"/>
    </row>
    <row r="16" spans="1:20" ht="60" customHeight="1" x14ac:dyDescent="0.25">
      <c r="A16" s="93">
        <v>10</v>
      </c>
      <c r="B16" s="90">
        <v>2</v>
      </c>
      <c r="C16" s="90" t="s">
        <v>232</v>
      </c>
      <c r="D16" s="94" t="s">
        <v>234</v>
      </c>
      <c r="E16" s="223">
        <f>IFERROR(VLOOKUP(A16,'1.2.Evaluación MAE'!$A$6:$C$65,3,0),0)</f>
        <v>1</v>
      </c>
      <c r="F16" s="220"/>
      <c r="G16" s="225">
        <f>E16</f>
        <v>1</v>
      </c>
      <c r="H16" s="218"/>
      <c r="I16" s="219"/>
      <c r="J16" s="224">
        <f>E16</f>
        <v>1</v>
      </c>
      <c r="K16" s="218"/>
      <c r="L16" s="218"/>
      <c r="M16" s="219"/>
      <c r="N16" s="220"/>
      <c r="O16" s="225">
        <f t="shared" si="2"/>
        <v>1</v>
      </c>
      <c r="P16" s="219"/>
      <c r="Q16" s="220"/>
      <c r="R16" s="225">
        <f>E16</f>
        <v>1</v>
      </c>
      <c r="S16" s="218"/>
      <c r="T16" s="219"/>
    </row>
    <row r="17" spans="1:20" ht="60" customHeight="1" x14ac:dyDescent="0.25">
      <c r="A17" s="93">
        <v>11</v>
      </c>
      <c r="B17" s="90">
        <v>2</v>
      </c>
      <c r="C17" s="90" t="s">
        <v>232</v>
      </c>
      <c r="D17" s="94" t="s">
        <v>235</v>
      </c>
      <c r="E17" s="223">
        <f>IFERROR(VLOOKUP(A17,'1.2.Evaluación MAE'!$A$6:$C$65,3,0),0)</f>
        <v>1</v>
      </c>
      <c r="F17" s="220"/>
      <c r="G17" s="225">
        <f>E17</f>
        <v>1</v>
      </c>
      <c r="H17" s="218"/>
      <c r="I17" s="219"/>
      <c r="J17" s="224">
        <f>E17</f>
        <v>1</v>
      </c>
      <c r="K17" s="218"/>
      <c r="L17" s="218"/>
      <c r="M17" s="219"/>
      <c r="N17" s="220"/>
      <c r="O17" s="225">
        <f t="shared" si="2"/>
        <v>1</v>
      </c>
      <c r="P17" s="219"/>
      <c r="Q17" s="220"/>
      <c r="R17" s="225">
        <f>E17</f>
        <v>1</v>
      </c>
      <c r="S17" s="218"/>
      <c r="T17" s="219"/>
    </row>
    <row r="18" spans="1:20" ht="60" customHeight="1" x14ac:dyDescent="0.25">
      <c r="A18" s="93">
        <v>12</v>
      </c>
      <c r="B18" s="90">
        <v>2</v>
      </c>
      <c r="C18" s="90" t="s">
        <v>232</v>
      </c>
      <c r="D18" s="94" t="s">
        <v>236</v>
      </c>
      <c r="E18" s="223">
        <f>IFERROR(VLOOKUP(A18,'1.2.Evaluación MAE'!$A$6:$C$65,3,0),0)</f>
        <v>1</v>
      </c>
      <c r="F18" s="220"/>
      <c r="G18" s="225">
        <f>E18</f>
        <v>1</v>
      </c>
      <c r="H18" s="218"/>
      <c r="I18" s="219"/>
      <c r="J18" s="224">
        <f>E18</f>
        <v>1</v>
      </c>
      <c r="K18" s="218"/>
      <c r="L18" s="218"/>
      <c r="M18" s="219"/>
      <c r="N18" s="220"/>
      <c r="O18" s="225">
        <f t="shared" si="2"/>
        <v>1</v>
      </c>
      <c r="P18" s="219"/>
      <c r="Q18" s="220"/>
      <c r="R18" s="225">
        <f>E18</f>
        <v>1</v>
      </c>
      <c r="S18" s="218"/>
      <c r="T18" s="219"/>
    </row>
    <row r="19" spans="1:20" ht="60" customHeight="1" x14ac:dyDescent="0.25">
      <c r="A19" s="93">
        <v>13</v>
      </c>
      <c r="B19" s="90">
        <v>2</v>
      </c>
      <c r="C19" s="90" t="s">
        <v>232</v>
      </c>
      <c r="D19" s="94" t="s">
        <v>237</v>
      </c>
      <c r="E19" s="223">
        <f>IFERROR(VLOOKUP(A19,'1.2.Evaluación MAE'!$A$6:$C$65,3,0),0)</f>
        <v>1</v>
      </c>
      <c r="F19" s="220"/>
      <c r="G19" s="225">
        <f>E19</f>
        <v>1</v>
      </c>
      <c r="H19" s="218"/>
      <c r="I19" s="219"/>
      <c r="J19" s="220"/>
      <c r="K19" s="221">
        <f>E19</f>
        <v>1</v>
      </c>
      <c r="L19" s="218"/>
      <c r="M19" s="219"/>
      <c r="N19" s="220"/>
      <c r="O19" s="225">
        <f t="shared" si="2"/>
        <v>1</v>
      </c>
      <c r="P19" s="219"/>
      <c r="Q19" s="220"/>
      <c r="R19" s="218"/>
      <c r="S19" s="218"/>
      <c r="T19" s="222">
        <f>E19</f>
        <v>1</v>
      </c>
    </row>
    <row r="20" spans="1:20" ht="60" customHeight="1" x14ac:dyDescent="0.25">
      <c r="A20" s="93">
        <v>14</v>
      </c>
      <c r="B20" s="90">
        <v>2</v>
      </c>
      <c r="C20" s="90" t="s">
        <v>232</v>
      </c>
      <c r="D20" s="94" t="s">
        <v>238</v>
      </c>
      <c r="E20" s="223">
        <f>IFERROR(VLOOKUP(A20,'1.2.Evaluación MAE'!$A$6:$C$65,3,0),0)</f>
        <v>1</v>
      </c>
      <c r="F20" s="220"/>
      <c r="G20" s="225">
        <f>E20</f>
        <v>1</v>
      </c>
      <c r="H20" s="218"/>
      <c r="I20" s="219"/>
      <c r="J20" s="220"/>
      <c r="K20" s="221">
        <f>E20</f>
        <v>1</v>
      </c>
      <c r="L20" s="218"/>
      <c r="M20" s="219"/>
      <c r="N20" s="220"/>
      <c r="O20" s="225">
        <f t="shared" si="2"/>
        <v>1</v>
      </c>
      <c r="P20" s="219"/>
      <c r="Q20" s="220"/>
      <c r="R20" s="218"/>
      <c r="S20" s="218"/>
      <c r="T20" s="222">
        <f>E20</f>
        <v>1</v>
      </c>
    </row>
    <row r="21" spans="1:20" ht="60" customHeight="1" x14ac:dyDescent="0.25">
      <c r="A21" s="93">
        <v>15</v>
      </c>
      <c r="B21" s="90">
        <v>2</v>
      </c>
      <c r="C21" s="90" t="s">
        <v>232</v>
      </c>
      <c r="D21" s="94" t="s">
        <v>239</v>
      </c>
      <c r="E21" s="223">
        <f>IFERROR(VLOOKUP(A21,'1.2.Evaluación MAE'!$A$6:$C$65,3,0),0)</f>
        <v>1</v>
      </c>
      <c r="F21" s="220"/>
      <c r="G21" s="218"/>
      <c r="H21" s="221">
        <f>E21</f>
        <v>1</v>
      </c>
      <c r="I21" s="219"/>
      <c r="J21" s="217">
        <f>E21</f>
        <v>1</v>
      </c>
      <c r="K21" s="218"/>
      <c r="L21" s="218"/>
      <c r="M21" s="219"/>
      <c r="N21" s="220"/>
      <c r="O21" s="225">
        <f t="shared" si="2"/>
        <v>1</v>
      </c>
      <c r="P21" s="219"/>
      <c r="Q21" s="220"/>
      <c r="R21" s="218"/>
      <c r="S21" s="221">
        <f>E21</f>
        <v>1</v>
      </c>
      <c r="T21" s="219"/>
    </row>
    <row r="22" spans="1:20" ht="60" customHeight="1" x14ac:dyDescent="0.25">
      <c r="A22" s="93">
        <v>16</v>
      </c>
      <c r="B22" s="90">
        <v>2</v>
      </c>
      <c r="C22" s="90" t="s">
        <v>232</v>
      </c>
      <c r="D22" s="94" t="s">
        <v>240</v>
      </c>
      <c r="E22" s="223">
        <f>IFERROR(VLOOKUP(A22,'1.2.Evaluación MAE'!$A$6:$C$65,3,0),0)</f>
        <v>1</v>
      </c>
      <c r="F22" s="220"/>
      <c r="G22" s="218"/>
      <c r="H22" s="221">
        <f>E22</f>
        <v>1</v>
      </c>
      <c r="I22" s="219"/>
      <c r="J22" s="217">
        <f>E22</f>
        <v>1</v>
      </c>
      <c r="K22" s="218"/>
      <c r="L22" s="218"/>
      <c r="M22" s="219"/>
      <c r="N22" s="220"/>
      <c r="O22" s="225">
        <f t="shared" si="2"/>
        <v>1</v>
      </c>
      <c r="P22" s="219"/>
      <c r="Q22" s="220"/>
      <c r="R22" s="218"/>
      <c r="S22" s="221">
        <f>E22</f>
        <v>1</v>
      </c>
      <c r="T22" s="219"/>
    </row>
    <row r="23" spans="1:20" ht="60" customHeight="1" x14ac:dyDescent="0.25">
      <c r="A23" s="93">
        <v>17</v>
      </c>
      <c r="B23" s="90">
        <v>2</v>
      </c>
      <c r="C23" s="90" t="s">
        <v>232</v>
      </c>
      <c r="D23" s="94" t="s">
        <v>241</v>
      </c>
      <c r="E23" s="223">
        <f>IFERROR(VLOOKUP(A23,'1.2.Evaluación MAE'!$A$6:$C$65,3,0),0)</f>
        <v>1</v>
      </c>
      <c r="F23" s="220"/>
      <c r="G23" s="218"/>
      <c r="H23" s="221">
        <f>E23</f>
        <v>1</v>
      </c>
      <c r="I23" s="219"/>
      <c r="J23" s="220"/>
      <c r="K23" s="221">
        <f>E23</f>
        <v>1</v>
      </c>
      <c r="L23" s="218"/>
      <c r="M23" s="219"/>
      <c r="N23" s="217">
        <f>E23</f>
        <v>1</v>
      </c>
      <c r="O23" s="218"/>
      <c r="P23" s="219"/>
      <c r="Q23" s="220"/>
      <c r="R23" s="218"/>
      <c r="S23" s="221">
        <f>E23</f>
        <v>1</v>
      </c>
      <c r="T23" s="219"/>
    </row>
    <row r="24" spans="1:20" ht="60" customHeight="1" x14ac:dyDescent="0.25">
      <c r="A24" s="93">
        <v>18</v>
      </c>
      <c r="B24" s="90">
        <v>2</v>
      </c>
      <c r="C24" s="90" t="s">
        <v>232</v>
      </c>
      <c r="D24" s="94" t="s">
        <v>242</v>
      </c>
      <c r="E24" s="223">
        <f>IFERROR(VLOOKUP(A24,'1.2.Evaluación MAE'!$A$6:$C$65,3,0),0)</f>
        <v>1</v>
      </c>
      <c r="F24" s="220"/>
      <c r="G24" s="218"/>
      <c r="H24" s="218"/>
      <c r="I24" s="222">
        <f>E24</f>
        <v>1</v>
      </c>
      <c r="J24" s="220"/>
      <c r="K24" s="218"/>
      <c r="L24" s="218"/>
      <c r="M24" s="222">
        <f>E24</f>
        <v>1</v>
      </c>
      <c r="N24" s="220"/>
      <c r="O24" s="218"/>
      <c r="P24" s="222">
        <f>E24</f>
        <v>1</v>
      </c>
      <c r="Q24" s="220"/>
      <c r="R24" s="218"/>
      <c r="S24" s="221">
        <f>E24</f>
        <v>1</v>
      </c>
      <c r="T24" s="219"/>
    </row>
    <row r="25" spans="1:20" ht="60" customHeight="1" x14ac:dyDescent="0.25">
      <c r="A25" s="93">
        <v>19</v>
      </c>
      <c r="B25" s="90">
        <v>2</v>
      </c>
      <c r="C25" s="90" t="s">
        <v>243</v>
      </c>
      <c r="D25" s="94" t="s">
        <v>244</v>
      </c>
      <c r="E25" s="223">
        <f>IFERROR(VLOOKUP(A25,'1.2.Evaluación MAE'!$A$6:$C$65,3,0),0)</f>
        <v>1</v>
      </c>
      <c r="F25" s="224">
        <f>E25</f>
        <v>1</v>
      </c>
      <c r="G25" s="218"/>
      <c r="H25" s="218"/>
      <c r="I25" s="219"/>
      <c r="J25" s="217">
        <f>E25</f>
        <v>1</v>
      </c>
      <c r="K25" s="218"/>
      <c r="L25" s="218"/>
      <c r="M25" s="219"/>
      <c r="N25" s="220"/>
      <c r="O25" s="225">
        <f>E25</f>
        <v>1</v>
      </c>
      <c r="P25" s="219"/>
      <c r="Q25" s="224">
        <f>E25</f>
        <v>1</v>
      </c>
      <c r="R25" s="218"/>
      <c r="S25" s="218"/>
      <c r="T25" s="219"/>
    </row>
    <row r="26" spans="1:20" ht="60" customHeight="1" x14ac:dyDescent="0.25">
      <c r="A26" s="93">
        <v>20</v>
      </c>
      <c r="B26" s="90">
        <v>2</v>
      </c>
      <c r="C26" s="90" t="s">
        <v>243</v>
      </c>
      <c r="D26" s="94" t="s">
        <v>245</v>
      </c>
      <c r="E26" s="223">
        <f>IFERROR(VLOOKUP(A26,'1.2.Evaluación MAE'!$A$6:$C$65,3,0),0)</f>
        <v>1</v>
      </c>
      <c r="F26" s="220"/>
      <c r="G26" s="225">
        <f>E26</f>
        <v>1</v>
      </c>
      <c r="H26" s="218"/>
      <c r="I26" s="219"/>
      <c r="J26" s="217">
        <f t="shared" ref="J26:J28" si="3">E26</f>
        <v>1</v>
      </c>
      <c r="K26" s="218"/>
      <c r="L26" s="218"/>
      <c r="M26" s="219"/>
      <c r="N26" s="220"/>
      <c r="O26" s="225">
        <f t="shared" ref="O26:O31" si="4">E26</f>
        <v>1</v>
      </c>
      <c r="P26" s="219"/>
      <c r="Q26" s="220"/>
      <c r="R26" s="225">
        <f>E26</f>
        <v>1</v>
      </c>
      <c r="S26" s="218"/>
      <c r="T26" s="219"/>
    </row>
    <row r="27" spans="1:20" ht="60" customHeight="1" x14ac:dyDescent="0.25">
      <c r="A27" s="93">
        <v>21</v>
      </c>
      <c r="B27" s="90">
        <v>2</v>
      </c>
      <c r="C27" s="90" t="s">
        <v>243</v>
      </c>
      <c r="D27" s="94" t="s">
        <v>246</v>
      </c>
      <c r="E27" s="223">
        <f>IFERROR(VLOOKUP(A27,'1.2.Evaluación MAE'!$A$6:$C$65,3,0),0)</f>
        <v>1</v>
      </c>
      <c r="F27" s="220"/>
      <c r="G27" s="225">
        <f t="shared" ref="G27:G31" si="5">E27</f>
        <v>1</v>
      </c>
      <c r="H27" s="218"/>
      <c r="I27" s="219"/>
      <c r="J27" s="217">
        <f t="shared" si="3"/>
        <v>1</v>
      </c>
      <c r="K27" s="218"/>
      <c r="L27" s="218"/>
      <c r="M27" s="219"/>
      <c r="N27" s="220"/>
      <c r="O27" s="225">
        <f t="shared" si="4"/>
        <v>1</v>
      </c>
      <c r="P27" s="219"/>
      <c r="Q27" s="220"/>
      <c r="R27" s="225">
        <f t="shared" ref="R27:R28" si="6">E27</f>
        <v>1</v>
      </c>
      <c r="S27" s="218"/>
      <c r="T27" s="219"/>
    </row>
    <row r="28" spans="1:20" ht="60" customHeight="1" x14ac:dyDescent="0.25">
      <c r="A28" s="93">
        <v>22</v>
      </c>
      <c r="B28" s="90">
        <v>2</v>
      </c>
      <c r="C28" s="90" t="s">
        <v>243</v>
      </c>
      <c r="D28" s="94" t="s">
        <v>247</v>
      </c>
      <c r="E28" s="223">
        <f>IFERROR(VLOOKUP(A28,'1.2.Evaluación MAE'!$A$6:$C$65,3,0),0)</f>
        <v>1</v>
      </c>
      <c r="F28" s="220"/>
      <c r="G28" s="225">
        <f t="shared" si="5"/>
        <v>1</v>
      </c>
      <c r="H28" s="218"/>
      <c r="I28" s="219"/>
      <c r="J28" s="217">
        <f t="shared" si="3"/>
        <v>1</v>
      </c>
      <c r="K28" s="218"/>
      <c r="L28" s="218"/>
      <c r="M28" s="219"/>
      <c r="N28" s="220"/>
      <c r="O28" s="225">
        <f t="shared" si="4"/>
        <v>1</v>
      </c>
      <c r="P28" s="219"/>
      <c r="Q28" s="220"/>
      <c r="R28" s="225">
        <f t="shared" si="6"/>
        <v>1</v>
      </c>
      <c r="S28" s="218"/>
      <c r="T28" s="219"/>
    </row>
    <row r="29" spans="1:20" ht="60" customHeight="1" x14ac:dyDescent="0.25">
      <c r="A29" s="93">
        <v>23</v>
      </c>
      <c r="B29" s="90">
        <v>2</v>
      </c>
      <c r="C29" s="90" t="s">
        <v>243</v>
      </c>
      <c r="D29" s="94" t="s">
        <v>248</v>
      </c>
      <c r="E29" s="223">
        <f>IFERROR(VLOOKUP(A29,'1.2.Evaluación MAE'!$A$6:$C$65,3,0),0)</f>
        <v>1</v>
      </c>
      <c r="F29" s="220"/>
      <c r="G29" s="225">
        <f t="shared" si="5"/>
        <v>1</v>
      </c>
      <c r="H29" s="218"/>
      <c r="I29" s="219"/>
      <c r="J29" s="220"/>
      <c r="K29" s="218"/>
      <c r="L29" s="225">
        <f>E29</f>
        <v>1</v>
      </c>
      <c r="M29" s="219"/>
      <c r="N29" s="220"/>
      <c r="O29" s="225">
        <f t="shared" si="4"/>
        <v>1</v>
      </c>
      <c r="P29" s="219"/>
      <c r="Q29" s="220"/>
      <c r="R29" s="218"/>
      <c r="S29" s="218"/>
      <c r="T29" s="226">
        <f>E29</f>
        <v>1</v>
      </c>
    </row>
    <row r="30" spans="1:20" ht="60" customHeight="1" x14ac:dyDescent="0.25">
      <c r="A30" s="93">
        <v>24</v>
      </c>
      <c r="B30" s="90">
        <v>2</v>
      </c>
      <c r="C30" s="90" t="s">
        <v>243</v>
      </c>
      <c r="D30" s="94" t="s">
        <v>249</v>
      </c>
      <c r="E30" s="223">
        <f>IFERROR(VLOOKUP(A30,'1.2.Evaluación MAE'!$A$6:$C$65,3,0),0)</f>
        <v>1</v>
      </c>
      <c r="F30" s="220"/>
      <c r="G30" s="225">
        <f t="shared" si="5"/>
        <v>1</v>
      </c>
      <c r="H30" s="218"/>
      <c r="I30" s="219"/>
      <c r="J30" s="220"/>
      <c r="K30" s="225">
        <f>E30</f>
        <v>1</v>
      </c>
      <c r="L30" s="218"/>
      <c r="M30" s="219"/>
      <c r="N30" s="220"/>
      <c r="O30" s="225">
        <f t="shared" si="4"/>
        <v>1</v>
      </c>
      <c r="P30" s="219"/>
      <c r="Q30" s="220"/>
      <c r="R30" s="218"/>
      <c r="S30" s="218"/>
      <c r="T30" s="226">
        <f>E30</f>
        <v>1</v>
      </c>
    </row>
    <row r="31" spans="1:20" ht="60" customHeight="1" x14ac:dyDescent="0.25">
      <c r="A31" s="93">
        <v>25</v>
      </c>
      <c r="B31" s="90">
        <v>2</v>
      </c>
      <c r="C31" s="90" t="s">
        <v>243</v>
      </c>
      <c r="D31" s="94" t="s">
        <v>250</v>
      </c>
      <c r="E31" s="223">
        <f>IFERROR(VLOOKUP(A31,'1.2.Evaluación MAE'!$A$6:$C$65,3,0),0)</f>
        <v>1</v>
      </c>
      <c r="F31" s="220"/>
      <c r="G31" s="225">
        <f t="shared" si="5"/>
        <v>1</v>
      </c>
      <c r="H31" s="218"/>
      <c r="I31" s="219"/>
      <c r="J31" s="217">
        <f t="shared" ref="J31" si="7">E31</f>
        <v>1</v>
      </c>
      <c r="K31" s="218"/>
      <c r="L31" s="218"/>
      <c r="M31" s="219"/>
      <c r="N31" s="220"/>
      <c r="O31" s="225">
        <f t="shared" si="4"/>
        <v>1</v>
      </c>
      <c r="P31" s="219"/>
      <c r="Q31" s="220"/>
      <c r="R31" s="218"/>
      <c r="S31" s="221">
        <f>E31</f>
        <v>1</v>
      </c>
      <c r="T31" s="219"/>
    </row>
    <row r="32" spans="1:20" ht="60" customHeight="1" x14ac:dyDescent="0.25">
      <c r="A32" s="93">
        <v>26</v>
      </c>
      <c r="B32" s="90">
        <v>2</v>
      </c>
      <c r="C32" s="90" t="s">
        <v>243</v>
      </c>
      <c r="D32" s="94" t="s">
        <v>251</v>
      </c>
      <c r="E32" s="223">
        <f>IFERROR(VLOOKUP(A32,'1.2.Evaluación MAE'!$A$6:$C$65,3,0),0)</f>
        <v>1</v>
      </c>
      <c r="F32" s="220"/>
      <c r="G32" s="218"/>
      <c r="H32" s="221">
        <f>E32</f>
        <v>1</v>
      </c>
      <c r="I32" s="219"/>
      <c r="J32" s="220"/>
      <c r="K32" s="221">
        <f>E32</f>
        <v>1</v>
      </c>
      <c r="L32" s="218"/>
      <c r="M32" s="219"/>
      <c r="N32" s="217">
        <f>E32</f>
        <v>1</v>
      </c>
      <c r="O32" s="218"/>
      <c r="P32" s="219"/>
      <c r="Q32" s="220"/>
      <c r="R32" s="218"/>
      <c r="S32" s="221">
        <f t="shared" ref="S32:S34" si="8">E32</f>
        <v>1</v>
      </c>
      <c r="T32" s="219"/>
    </row>
    <row r="33" spans="1:20" ht="60" customHeight="1" x14ac:dyDescent="0.25">
      <c r="A33" s="93">
        <v>27</v>
      </c>
      <c r="B33" s="90">
        <v>2</v>
      </c>
      <c r="C33" s="90" t="s">
        <v>243</v>
      </c>
      <c r="D33" s="94" t="s">
        <v>252</v>
      </c>
      <c r="E33" s="223">
        <f>IFERROR(VLOOKUP(A33,'1.2.Evaluación MAE'!$A$6:$C$65,3,0),0)</f>
        <v>1</v>
      </c>
      <c r="F33" s="220"/>
      <c r="G33" s="218"/>
      <c r="H33" s="221">
        <f t="shared" ref="H33:H37" si="9">E33</f>
        <v>1</v>
      </c>
      <c r="I33" s="219"/>
      <c r="J33" s="220"/>
      <c r="K33" s="221">
        <f t="shared" ref="K33:K37" si="10">E33</f>
        <v>1</v>
      </c>
      <c r="L33" s="218"/>
      <c r="M33" s="219"/>
      <c r="N33" s="217">
        <f t="shared" ref="N33:N37" si="11">E33</f>
        <v>1</v>
      </c>
      <c r="O33" s="218"/>
      <c r="P33" s="219"/>
      <c r="Q33" s="220"/>
      <c r="R33" s="218"/>
      <c r="S33" s="221">
        <f t="shared" si="8"/>
        <v>1</v>
      </c>
      <c r="T33" s="219"/>
    </row>
    <row r="34" spans="1:20" ht="60" customHeight="1" x14ac:dyDescent="0.25">
      <c r="A34" s="93">
        <v>28</v>
      </c>
      <c r="B34" s="90">
        <v>2</v>
      </c>
      <c r="C34" s="90" t="s">
        <v>243</v>
      </c>
      <c r="D34" s="94" t="s">
        <v>253</v>
      </c>
      <c r="E34" s="223">
        <f>IFERROR(VLOOKUP(A34,'1.2.Evaluación MAE'!$A$6:$C$65,3,0),0)</f>
        <v>1</v>
      </c>
      <c r="F34" s="220"/>
      <c r="G34" s="218"/>
      <c r="H34" s="221">
        <f t="shared" si="9"/>
        <v>1</v>
      </c>
      <c r="I34" s="219"/>
      <c r="J34" s="220"/>
      <c r="K34" s="221">
        <f t="shared" si="10"/>
        <v>1</v>
      </c>
      <c r="L34" s="218"/>
      <c r="M34" s="219"/>
      <c r="N34" s="217">
        <f t="shared" si="11"/>
        <v>1</v>
      </c>
      <c r="O34" s="218"/>
      <c r="P34" s="219"/>
      <c r="Q34" s="220"/>
      <c r="R34" s="218"/>
      <c r="S34" s="221">
        <f t="shared" si="8"/>
        <v>1</v>
      </c>
      <c r="T34" s="219"/>
    </row>
    <row r="35" spans="1:20" ht="60" customHeight="1" x14ac:dyDescent="0.25">
      <c r="A35" s="93">
        <v>29</v>
      </c>
      <c r="B35" s="90">
        <v>2</v>
      </c>
      <c r="C35" s="90" t="s">
        <v>243</v>
      </c>
      <c r="D35" s="94" t="s">
        <v>254</v>
      </c>
      <c r="E35" s="223">
        <f>IFERROR(VLOOKUP(A35,'1.2.Evaluación MAE'!$A$6:$C$65,3,0),0)</f>
        <v>1</v>
      </c>
      <c r="F35" s="220"/>
      <c r="G35" s="218"/>
      <c r="H35" s="221">
        <f t="shared" si="9"/>
        <v>1</v>
      </c>
      <c r="I35" s="219"/>
      <c r="J35" s="220"/>
      <c r="K35" s="221">
        <f t="shared" si="10"/>
        <v>1</v>
      </c>
      <c r="L35" s="218"/>
      <c r="M35" s="219"/>
      <c r="N35" s="217">
        <f t="shared" si="11"/>
        <v>1</v>
      </c>
      <c r="O35" s="218"/>
      <c r="P35" s="219"/>
      <c r="Q35" s="220"/>
      <c r="R35" s="218"/>
      <c r="S35" s="218"/>
      <c r="T35" s="222">
        <f>E35</f>
        <v>1</v>
      </c>
    </row>
    <row r="36" spans="1:20" ht="60" customHeight="1" x14ac:dyDescent="0.25">
      <c r="A36" s="93">
        <v>30</v>
      </c>
      <c r="B36" s="90">
        <v>2</v>
      </c>
      <c r="C36" s="90" t="s">
        <v>243</v>
      </c>
      <c r="D36" s="94" t="s">
        <v>255</v>
      </c>
      <c r="E36" s="223">
        <f>IFERROR(VLOOKUP(A36,'1.2.Evaluación MAE'!$A$6:$C$65,3,0),0)</f>
        <v>1</v>
      </c>
      <c r="F36" s="220"/>
      <c r="G36" s="218"/>
      <c r="H36" s="221">
        <f t="shared" si="9"/>
        <v>1</v>
      </c>
      <c r="I36" s="219"/>
      <c r="J36" s="220"/>
      <c r="K36" s="221">
        <f t="shared" si="10"/>
        <v>1</v>
      </c>
      <c r="L36" s="218"/>
      <c r="M36" s="219"/>
      <c r="N36" s="217">
        <f t="shared" si="11"/>
        <v>1</v>
      </c>
      <c r="O36" s="218"/>
      <c r="P36" s="219"/>
      <c r="Q36" s="220"/>
      <c r="R36" s="218"/>
      <c r="S36" s="218"/>
      <c r="T36" s="222">
        <f t="shared" ref="T36:T37" si="12">E36</f>
        <v>1</v>
      </c>
    </row>
    <row r="37" spans="1:20" ht="60" customHeight="1" x14ac:dyDescent="0.25">
      <c r="A37" s="93">
        <v>31</v>
      </c>
      <c r="B37" s="90">
        <v>2</v>
      </c>
      <c r="C37" s="90" t="s">
        <v>243</v>
      </c>
      <c r="D37" s="94" t="s">
        <v>256</v>
      </c>
      <c r="E37" s="223">
        <f>IFERROR(VLOOKUP(A37,'1.2.Evaluación MAE'!$A$6:$C$65,3,0),0)</f>
        <v>1</v>
      </c>
      <c r="F37" s="220"/>
      <c r="G37" s="218"/>
      <c r="H37" s="221">
        <f t="shared" si="9"/>
        <v>1</v>
      </c>
      <c r="I37" s="219"/>
      <c r="J37" s="220"/>
      <c r="K37" s="221">
        <f t="shared" si="10"/>
        <v>1</v>
      </c>
      <c r="L37" s="218"/>
      <c r="M37" s="219"/>
      <c r="N37" s="217">
        <f t="shared" si="11"/>
        <v>1</v>
      </c>
      <c r="O37" s="218"/>
      <c r="P37" s="219"/>
      <c r="Q37" s="220"/>
      <c r="R37" s="218"/>
      <c r="S37" s="218"/>
      <c r="T37" s="222">
        <f t="shared" si="12"/>
        <v>1</v>
      </c>
    </row>
    <row r="38" spans="1:20" ht="60" customHeight="1" x14ac:dyDescent="0.25">
      <c r="A38" s="93">
        <v>32</v>
      </c>
      <c r="B38" s="90">
        <v>2</v>
      </c>
      <c r="C38" s="90" t="s">
        <v>243</v>
      </c>
      <c r="D38" s="94" t="s">
        <v>257</v>
      </c>
      <c r="E38" s="223">
        <f>IFERROR(VLOOKUP(A38,'1.2.Evaluación MAE'!$A$6:$C$65,3,0),0)</f>
        <v>1</v>
      </c>
      <c r="F38" s="220"/>
      <c r="G38" s="218"/>
      <c r="H38" s="218"/>
      <c r="I38" s="222">
        <f>E38</f>
        <v>1</v>
      </c>
      <c r="J38" s="220"/>
      <c r="K38" s="218"/>
      <c r="L38" s="218"/>
      <c r="M38" s="222">
        <f>E38</f>
        <v>1</v>
      </c>
      <c r="N38" s="220"/>
      <c r="O38" s="218"/>
      <c r="P38" s="222">
        <f>E38</f>
        <v>1</v>
      </c>
      <c r="Q38" s="220"/>
      <c r="R38" s="218"/>
      <c r="S38" s="221">
        <f>E38</f>
        <v>1</v>
      </c>
      <c r="T38" s="219"/>
    </row>
    <row r="39" spans="1:20" ht="60" customHeight="1" x14ac:dyDescent="0.25">
      <c r="A39" s="93">
        <v>33</v>
      </c>
      <c r="B39" s="90">
        <v>3</v>
      </c>
      <c r="C39" s="90" t="s">
        <v>258</v>
      </c>
      <c r="D39" s="94" t="s">
        <v>259</v>
      </c>
      <c r="E39" s="223">
        <f>IFERROR(VLOOKUP(A39,'1.2.Evaluación MAE'!$A$6:$C$65,3,0),0)</f>
        <v>1</v>
      </c>
      <c r="F39" s="217">
        <f>E39</f>
        <v>1</v>
      </c>
      <c r="G39" s="218"/>
      <c r="H39" s="218"/>
      <c r="I39" s="219"/>
      <c r="J39" s="217">
        <f>E39</f>
        <v>1</v>
      </c>
      <c r="K39" s="218"/>
      <c r="L39" s="218"/>
      <c r="M39" s="219"/>
      <c r="N39" s="220"/>
      <c r="O39" s="225">
        <f>E39</f>
        <v>1</v>
      </c>
      <c r="P39" s="219"/>
      <c r="Q39" s="224">
        <f>E39</f>
        <v>1</v>
      </c>
      <c r="R39" s="218"/>
      <c r="S39" s="218"/>
      <c r="T39" s="219"/>
    </row>
    <row r="40" spans="1:20" ht="60" customHeight="1" x14ac:dyDescent="0.25">
      <c r="A40" s="93">
        <v>34</v>
      </c>
      <c r="B40" s="90">
        <v>3</v>
      </c>
      <c r="C40" s="90" t="s">
        <v>258</v>
      </c>
      <c r="D40" s="94" t="s">
        <v>260</v>
      </c>
      <c r="E40" s="223">
        <f>IFERROR(VLOOKUP(A40,'1.2.Evaluación MAE'!$A$6:$C$65,3,0),0)</f>
        <v>1</v>
      </c>
      <c r="F40" s="217">
        <f t="shared" ref="F40:F41" si="13">E40</f>
        <v>1</v>
      </c>
      <c r="G40" s="218"/>
      <c r="H40" s="218"/>
      <c r="I40" s="219"/>
      <c r="J40" s="217">
        <f>E40</f>
        <v>1</v>
      </c>
      <c r="K40" s="218"/>
      <c r="L40" s="218"/>
      <c r="M40" s="219"/>
      <c r="N40" s="220"/>
      <c r="O40" s="225">
        <f t="shared" ref="O40:O42" si="14">E40</f>
        <v>1</v>
      </c>
      <c r="P40" s="219"/>
      <c r="Q40" s="224">
        <f>E40</f>
        <v>1</v>
      </c>
      <c r="R40" s="218"/>
      <c r="S40" s="218"/>
      <c r="T40" s="219"/>
    </row>
    <row r="41" spans="1:20" ht="60" customHeight="1" x14ac:dyDescent="0.25">
      <c r="A41" s="93">
        <v>35</v>
      </c>
      <c r="B41" s="90">
        <v>3</v>
      </c>
      <c r="C41" s="90" t="s">
        <v>258</v>
      </c>
      <c r="D41" s="94" t="s">
        <v>261</v>
      </c>
      <c r="E41" s="223">
        <f>IFERROR(VLOOKUP(A41,'1.2.Evaluación MAE'!$A$6:$C$65,3,0),0)</f>
        <v>1</v>
      </c>
      <c r="F41" s="217">
        <f t="shared" si="13"/>
        <v>1</v>
      </c>
      <c r="G41" s="218"/>
      <c r="H41" s="218"/>
      <c r="I41" s="219"/>
      <c r="J41" s="220"/>
      <c r="K41" s="218"/>
      <c r="L41" s="225">
        <f>E41</f>
        <v>1</v>
      </c>
      <c r="M41" s="219"/>
      <c r="N41" s="220"/>
      <c r="O41" s="225">
        <f t="shared" si="14"/>
        <v>1</v>
      </c>
      <c r="P41" s="219"/>
      <c r="Q41" s="220"/>
      <c r="R41" s="218"/>
      <c r="S41" s="225">
        <f>E41</f>
        <v>1</v>
      </c>
      <c r="T41" s="219"/>
    </row>
    <row r="42" spans="1:20" ht="60" customHeight="1" x14ac:dyDescent="0.25">
      <c r="A42" s="93">
        <v>36</v>
      </c>
      <c r="B42" s="90">
        <v>3</v>
      </c>
      <c r="C42" s="90" t="s">
        <v>258</v>
      </c>
      <c r="D42" s="94" t="s">
        <v>262</v>
      </c>
      <c r="E42" s="223">
        <f>IFERROR(VLOOKUP(A42,'1.2.Evaluación MAE'!$A$6:$C$65,3,0),0)</f>
        <v>1</v>
      </c>
      <c r="F42" s="220"/>
      <c r="G42" s="221">
        <f t="shared" ref="G42" si="15">E42</f>
        <v>1</v>
      </c>
      <c r="H42" s="218"/>
      <c r="I42" s="219"/>
      <c r="J42" s="217">
        <f t="shared" ref="J42" si="16">E42</f>
        <v>1</v>
      </c>
      <c r="K42" s="218"/>
      <c r="L42" s="218"/>
      <c r="M42" s="219"/>
      <c r="N42" s="220"/>
      <c r="O42" s="225">
        <f t="shared" si="14"/>
        <v>1</v>
      </c>
      <c r="P42" s="219"/>
      <c r="Q42" s="220"/>
      <c r="R42" s="225">
        <f>E42</f>
        <v>1</v>
      </c>
      <c r="S42" s="218"/>
      <c r="T42" s="219"/>
    </row>
    <row r="43" spans="1:20" ht="60" customHeight="1" x14ac:dyDescent="0.25">
      <c r="A43" s="93">
        <v>37</v>
      </c>
      <c r="B43" s="90">
        <v>3</v>
      </c>
      <c r="C43" s="90" t="s">
        <v>258</v>
      </c>
      <c r="D43" s="94" t="s">
        <v>263</v>
      </c>
      <c r="E43" s="223">
        <f>IFERROR(VLOOKUP(A43,'1.2.Evaluación MAE'!$A$6:$C$65,3,0),0)</f>
        <v>1</v>
      </c>
      <c r="F43" s="220"/>
      <c r="G43" s="218"/>
      <c r="H43" s="221">
        <f>E43</f>
        <v>1</v>
      </c>
      <c r="I43" s="219"/>
      <c r="J43" s="220"/>
      <c r="K43" s="225">
        <f>E43</f>
        <v>1</v>
      </c>
      <c r="L43" s="218"/>
      <c r="M43" s="219"/>
      <c r="N43" s="224">
        <f>E43</f>
        <v>1</v>
      </c>
      <c r="O43" s="218"/>
      <c r="P43" s="219"/>
      <c r="Q43" s="220"/>
      <c r="R43" s="218"/>
      <c r="S43" s="225">
        <f t="shared" ref="S43:S49" si="17">E43</f>
        <v>1</v>
      </c>
      <c r="T43" s="219"/>
    </row>
    <row r="44" spans="1:20" ht="60" customHeight="1" x14ac:dyDescent="0.25">
      <c r="A44" s="93">
        <v>38</v>
      </c>
      <c r="B44" s="90">
        <v>3</v>
      </c>
      <c r="C44" s="90" t="s">
        <v>258</v>
      </c>
      <c r="D44" s="94" t="s">
        <v>264</v>
      </c>
      <c r="E44" s="223">
        <f>IFERROR(VLOOKUP(A44,'1.2.Evaluación MAE'!$A$6:$C$65,3,0),0)</f>
        <v>1</v>
      </c>
      <c r="F44" s="220"/>
      <c r="G44" s="218"/>
      <c r="H44" s="221">
        <f>E44</f>
        <v>1</v>
      </c>
      <c r="I44" s="219"/>
      <c r="J44" s="220"/>
      <c r="K44" s="225">
        <f>E44</f>
        <v>1</v>
      </c>
      <c r="L44" s="218"/>
      <c r="M44" s="219"/>
      <c r="N44" s="224">
        <f t="shared" ref="N44:N45" si="18">E44</f>
        <v>1</v>
      </c>
      <c r="O44" s="218"/>
      <c r="P44" s="219"/>
      <c r="Q44" s="220"/>
      <c r="R44" s="218"/>
      <c r="S44" s="218"/>
      <c r="T44" s="349">
        <f>E44</f>
        <v>1</v>
      </c>
    </row>
    <row r="45" spans="1:20" ht="60" customHeight="1" x14ac:dyDescent="0.25">
      <c r="A45" s="93">
        <v>39</v>
      </c>
      <c r="B45" s="90">
        <v>3</v>
      </c>
      <c r="C45" s="90" t="s">
        <v>258</v>
      </c>
      <c r="D45" s="94" t="s">
        <v>265</v>
      </c>
      <c r="E45" s="223">
        <f>IFERROR(VLOOKUP(A45,'1.2.Evaluación MAE'!$A$6:$C$65,3,0),0)</f>
        <v>1</v>
      </c>
      <c r="F45" s="220"/>
      <c r="G45" s="218"/>
      <c r="H45" s="221">
        <f>E45</f>
        <v>1</v>
      </c>
      <c r="I45" s="219"/>
      <c r="J45" s="220"/>
      <c r="K45" s="225">
        <f>E45</f>
        <v>1</v>
      </c>
      <c r="L45" s="218"/>
      <c r="M45" s="219"/>
      <c r="N45" s="224">
        <f t="shared" si="18"/>
        <v>1</v>
      </c>
      <c r="O45" s="218"/>
      <c r="P45" s="219"/>
      <c r="Q45" s="220"/>
      <c r="R45" s="218"/>
      <c r="S45" s="225">
        <f t="shared" si="17"/>
        <v>1</v>
      </c>
      <c r="T45" s="219"/>
    </row>
    <row r="46" spans="1:20" ht="60" customHeight="1" x14ac:dyDescent="0.25">
      <c r="A46" s="93">
        <v>40</v>
      </c>
      <c r="B46" s="90">
        <v>3</v>
      </c>
      <c r="C46" s="90" t="s">
        <v>258</v>
      </c>
      <c r="D46" s="94" t="s">
        <v>266</v>
      </c>
      <c r="E46" s="223">
        <f>IFERROR(VLOOKUP(A46,'1.2.Evaluación MAE'!$A$6:$C$65,3,0),0)</f>
        <v>1</v>
      </c>
      <c r="F46" s="220"/>
      <c r="G46" s="218"/>
      <c r="H46" s="218"/>
      <c r="I46" s="222">
        <f>E46</f>
        <v>1</v>
      </c>
      <c r="J46" s="220"/>
      <c r="K46" s="218"/>
      <c r="L46" s="218"/>
      <c r="M46" s="222">
        <f>E46</f>
        <v>1</v>
      </c>
      <c r="N46" s="220"/>
      <c r="O46" s="218"/>
      <c r="P46" s="222">
        <f>E46</f>
        <v>1</v>
      </c>
      <c r="Q46" s="220"/>
      <c r="R46" s="218"/>
      <c r="S46" s="225">
        <f t="shared" si="17"/>
        <v>1</v>
      </c>
      <c r="T46" s="219"/>
    </row>
    <row r="47" spans="1:20" ht="60" customHeight="1" x14ac:dyDescent="0.25">
      <c r="A47" s="93">
        <v>41</v>
      </c>
      <c r="B47" s="90">
        <v>3</v>
      </c>
      <c r="C47" s="90" t="s">
        <v>258</v>
      </c>
      <c r="D47" s="94" t="s">
        <v>267</v>
      </c>
      <c r="E47" s="223">
        <f>IFERROR(VLOOKUP(A47,'1.2.Evaluación MAE'!$A$6:$C$65,3,0),0)</f>
        <v>1</v>
      </c>
      <c r="F47" s="220"/>
      <c r="G47" s="218"/>
      <c r="H47" s="218"/>
      <c r="I47" s="222">
        <f>E47</f>
        <v>1</v>
      </c>
      <c r="J47" s="220"/>
      <c r="K47" s="218"/>
      <c r="L47" s="218"/>
      <c r="M47" s="222">
        <f>E47</f>
        <v>1</v>
      </c>
      <c r="N47" s="220"/>
      <c r="O47" s="218"/>
      <c r="P47" s="222">
        <f t="shared" ref="P47:P49" si="19">E47</f>
        <v>1</v>
      </c>
      <c r="Q47" s="220"/>
      <c r="R47" s="218"/>
      <c r="S47" s="225">
        <f t="shared" si="17"/>
        <v>1</v>
      </c>
      <c r="T47" s="219"/>
    </row>
    <row r="48" spans="1:20" ht="60" customHeight="1" x14ac:dyDescent="0.25">
      <c r="A48" s="93">
        <v>42</v>
      </c>
      <c r="B48" s="90">
        <v>3</v>
      </c>
      <c r="C48" s="90" t="s">
        <v>258</v>
      </c>
      <c r="D48" s="94" t="s">
        <v>268</v>
      </c>
      <c r="E48" s="223">
        <f>IFERROR(VLOOKUP(A48,'1.2.Evaluación MAE'!$A$6:$C$65,3,0),0)</f>
        <v>1</v>
      </c>
      <c r="F48" s="220"/>
      <c r="G48" s="218"/>
      <c r="H48" s="218"/>
      <c r="I48" s="222">
        <f>E48</f>
        <v>1</v>
      </c>
      <c r="J48" s="220"/>
      <c r="K48" s="218"/>
      <c r="L48" s="218"/>
      <c r="M48" s="222">
        <f>E48</f>
        <v>1</v>
      </c>
      <c r="N48" s="220"/>
      <c r="O48" s="218"/>
      <c r="P48" s="222">
        <f t="shared" si="19"/>
        <v>1</v>
      </c>
      <c r="Q48" s="220"/>
      <c r="R48" s="218"/>
      <c r="S48" s="225">
        <f t="shared" si="17"/>
        <v>1</v>
      </c>
      <c r="T48" s="219"/>
    </row>
    <row r="49" spans="1:20" ht="60" customHeight="1" x14ac:dyDescent="0.25">
      <c r="A49" s="93">
        <v>43</v>
      </c>
      <c r="B49" s="90">
        <v>3</v>
      </c>
      <c r="C49" s="90" t="s">
        <v>258</v>
      </c>
      <c r="D49" s="94" t="s">
        <v>269</v>
      </c>
      <c r="E49" s="223">
        <f>IFERROR(VLOOKUP(A49,'1.2.Evaluación MAE'!$A$6:$C$65,3,0),0)</f>
        <v>1</v>
      </c>
      <c r="F49" s="220"/>
      <c r="G49" s="218"/>
      <c r="H49" s="218"/>
      <c r="I49" s="222">
        <f>E49</f>
        <v>1</v>
      </c>
      <c r="J49" s="220"/>
      <c r="K49" s="218"/>
      <c r="L49" s="218"/>
      <c r="M49" s="222">
        <f>E49</f>
        <v>1</v>
      </c>
      <c r="N49" s="220"/>
      <c r="O49" s="218"/>
      <c r="P49" s="222">
        <f t="shared" si="19"/>
        <v>1</v>
      </c>
      <c r="Q49" s="220"/>
      <c r="R49" s="218"/>
      <c r="S49" s="225">
        <f t="shared" si="17"/>
        <v>1</v>
      </c>
      <c r="T49" s="219"/>
    </row>
    <row r="50" spans="1:20" ht="60" customHeight="1" x14ac:dyDescent="0.25">
      <c r="A50" s="93">
        <v>44</v>
      </c>
      <c r="B50" s="347">
        <v>4</v>
      </c>
      <c r="C50" s="90" t="s">
        <v>270</v>
      </c>
      <c r="D50" s="94" t="s">
        <v>271</v>
      </c>
      <c r="E50" s="223">
        <f>IFERROR(VLOOKUP(A50,'1.2.Evaluación MAE'!$A$6:$C$65,3,0),0)</f>
        <v>1</v>
      </c>
      <c r="F50" s="217">
        <f>E50</f>
        <v>1</v>
      </c>
      <c r="G50" s="218"/>
      <c r="H50" s="218"/>
      <c r="I50" s="219"/>
      <c r="J50" s="217">
        <f>E50</f>
        <v>1</v>
      </c>
      <c r="K50" s="218"/>
      <c r="L50" s="218"/>
      <c r="M50" s="219"/>
      <c r="N50" s="220"/>
      <c r="O50" s="225">
        <f>E50</f>
        <v>1</v>
      </c>
      <c r="P50" s="219"/>
      <c r="Q50" s="224">
        <f>E50</f>
        <v>1</v>
      </c>
      <c r="R50" s="218"/>
      <c r="S50" s="218"/>
      <c r="T50" s="219"/>
    </row>
    <row r="51" spans="1:20" ht="60" customHeight="1" x14ac:dyDescent="0.25">
      <c r="A51" s="93">
        <v>45</v>
      </c>
      <c r="B51" s="347">
        <v>4</v>
      </c>
      <c r="C51" s="90" t="s">
        <v>270</v>
      </c>
      <c r="D51" s="94" t="s">
        <v>272</v>
      </c>
      <c r="E51" s="223">
        <f>IFERROR(VLOOKUP(A51,'1.2.Evaluación MAE'!$A$6:$C$65,3,0),0)</f>
        <v>1</v>
      </c>
      <c r="F51" s="217">
        <f>E51</f>
        <v>1</v>
      </c>
      <c r="G51" s="218"/>
      <c r="H51" s="218"/>
      <c r="I51" s="219"/>
      <c r="J51" s="217">
        <f>E51</f>
        <v>1</v>
      </c>
      <c r="K51" s="218"/>
      <c r="L51" s="218"/>
      <c r="M51" s="219"/>
      <c r="N51" s="220"/>
      <c r="O51" s="225">
        <f t="shared" ref="O51:O53" si="20">E51</f>
        <v>1</v>
      </c>
      <c r="P51" s="219"/>
      <c r="Q51" s="224">
        <f>E51</f>
        <v>1</v>
      </c>
      <c r="R51" s="218"/>
      <c r="S51" s="218"/>
      <c r="T51" s="219"/>
    </row>
    <row r="52" spans="1:20" ht="60" customHeight="1" x14ac:dyDescent="0.25">
      <c r="A52" s="93">
        <v>46</v>
      </c>
      <c r="B52" s="347">
        <v>4</v>
      </c>
      <c r="C52" s="90" t="s">
        <v>270</v>
      </c>
      <c r="D52" s="94" t="s">
        <v>273</v>
      </c>
      <c r="E52" s="223">
        <f>IFERROR(VLOOKUP(A52,'1.2.Evaluación MAE'!$A$6:$C$65,3,0),0)</f>
        <v>1</v>
      </c>
      <c r="F52" s="220"/>
      <c r="G52" s="225">
        <f>E52</f>
        <v>1</v>
      </c>
      <c r="H52" s="218"/>
      <c r="I52" s="219"/>
      <c r="J52" s="220"/>
      <c r="K52" s="218"/>
      <c r="L52" s="348">
        <f>E52</f>
        <v>1</v>
      </c>
      <c r="M52" s="219"/>
      <c r="N52" s="220"/>
      <c r="O52" s="225">
        <f t="shared" si="20"/>
        <v>1</v>
      </c>
      <c r="P52" s="219"/>
      <c r="Q52" s="220"/>
      <c r="R52" s="218"/>
      <c r="S52" s="218"/>
      <c r="T52" s="226">
        <f>E52</f>
        <v>1</v>
      </c>
    </row>
    <row r="53" spans="1:20" ht="60" customHeight="1" x14ac:dyDescent="0.25">
      <c r="A53" s="93">
        <v>47</v>
      </c>
      <c r="B53" s="347">
        <v>4</v>
      </c>
      <c r="C53" s="90" t="s">
        <v>270</v>
      </c>
      <c r="D53" s="94" t="s">
        <v>274</v>
      </c>
      <c r="E53" s="223">
        <f>IFERROR(VLOOKUP(A53,'1.2.Evaluación MAE'!$A$6:$C$65,3,0),0)</f>
        <v>1</v>
      </c>
      <c r="F53" s="220"/>
      <c r="G53" s="225">
        <f>E53</f>
        <v>1</v>
      </c>
      <c r="H53" s="218"/>
      <c r="I53" s="219"/>
      <c r="J53" s="224">
        <f>E53</f>
        <v>1</v>
      </c>
      <c r="K53" s="218"/>
      <c r="L53" s="218"/>
      <c r="M53" s="219"/>
      <c r="N53" s="220"/>
      <c r="O53" s="225">
        <f t="shared" si="20"/>
        <v>1</v>
      </c>
      <c r="P53" s="219"/>
      <c r="Q53" s="220"/>
      <c r="R53" s="225">
        <f>E53</f>
        <v>1</v>
      </c>
      <c r="S53" s="218"/>
      <c r="T53" s="219"/>
    </row>
    <row r="54" spans="1:20" ht="60" customHeight="1" x14ac:dyDescent="0.25">
      <c r="A54" s="93">
        <v>48</v>
      </c>
      <c r="B54" s="347">
        <v>4</v>
      </c>
      <c r="C54" s="90" t="s">
        <v>270</v>
      </c>
      <c r="D54" s="94" t="s">
        <v>275</v>
      </c>
      <c r="E54" s="223">
        <f>IFERROR(VLOOKUP(A54,'1.2.Evaluación MAE'!$A$6:$C$65,3,0),0)</f>
        <v>1</v>
      </c>
      <c r="F54" s="220"/>
      <c r="G54" s="218"/>
      <c r="H54" s="225">
        <f>E54</f>
        <v>1</v>
      </c>
      <c r="I54" s="219"/>
      <c r="J54" s="220"/>
      <c r="K54" s="221">
        <f>E54</f>
        <v>1</v>
      </c>
      <c r="L54" s="218"/>
      <c r="M54" s="219"/>
      <c r="N54" s="217">
        <f>E54</f>
        <v>1</v>
      </c>
      <c r="O54" s="218"/>
      <c r="P54" s="219"/>
      <c r="Q54" s="220"/>
      <c r="R54" s="218"/>
      <c r="S54" s="225">
        <f>E54</f>
        <v>1</v>
      </c>
      <c r="T54" s="219"/>
    </row>
    <row r="55" spans="1:20" ht="60" customHeight="1" x14ac:dyDescent="0.25">
      <c r="A55" s="93">
        <v>49</v>
      </c>
      <c r="B55" s="347">
        <v>4</v>
      </c>
      <c r="C55" s="90" t="s">
        <v>270</v>
      </c>
      <c r="D55" s="94" t="s">
        <v>276</v>
      </c>
      <c r="E55" s="223">
        <f>IFERROR(VLOOKUP(A55,'1.2.Evaluación MAE'!$A$6:$C$65,3,0),0)</f>
        <v>1</v>
      </c>
      <c r="F55" s="220"/>
      <c r="G55" s="218"/>
      <c r="H55" s="225">
        <f t="shared" ref="H55:H57" si="21">E55</f>
        <v>1</v>
      </c>
      <c r="I55" s="219"/>
      <c r="J55" s="220"/>
      <c r="K55" s="221">
        <f t="shared" ref="K55:K57" si="22">E55</f>
        <v>1</v>
      </c>
      <c r="L55" s="218"/>
      <c r="M55" s="219"/>
      <c r="N55" s="217">
        <f t="shared" ref="N55:N57" si="23">E55</f>
        <v>1</v>
      </c>
      <c r="O55" s="218"/>
      <c r="P55" s="219"/>
      <c r="Q55" s="220"/>
      <c r="R55" s="218"/>
      <c r="S55" s="225">
        <f t="shared" ref="S55:S58" si="24">E55</f>
        <v>1</v>
      </c>
      <c r="T55" s="219"/>
    </row>
    <row r="56" spans="1:20" ht="60" customHeight="1" x14ac:dyDescent="0.25">
      <c r="A56" s="93">
        <v>50</v>
      </c>
      <c r="B56" s="347">
        <v>4</v>
      </c>
      <c r="C56" s="90" t="s">
        <v>270</v>
      </c>
      <c r="D56" s="94" t="s">
        <v>277</v>
      </c>
      <c r="E56" s="223">
        <f>IFERROR(VLOOKUP(A56,'1.2.Evaluación MAE'!$A$6:$C$65,3,0),0)</f>
        <v>1</v>
      </c>
      <c r="F56" s="220"/>
      <c r="G56" s="218"/>
      <c r="H56" s="225">
        <f t="shared" si="21"/>
        <v>1</v>
      </c>
      <c r="I56" s="219"/>
      <c r="J56" s="220"/>
      <c r="K56" s="221">
        <f t="shared" si="22"/>
        <v>1</v>
      </c>
      <c r="L56" s="218"/>
      <c r="M56" s="219"/>
      <c r="N56" s="217">
        <f t="shared" si="23"/>
        <v>1</v>
      </c>
      <c r="O56" s="218"/>
      <c r="P56" s="219"/>
      <c r="Q56" s="220"/>
      <c r="R56" s="218"/>
      <c r="S56" s="225">
        <f t="shared" si="24"/>
        <v>1</v>
      </c>
      <c r="T56" s="219"/>
    </row>
    <row r="57" spans="1:20" ht="60" customHeight="1" x14ac:dyDescent="0.25">
      <c r="A57" s="93">
        <v>51</v>
      </c>
      <c r="B57" s="347">
        <v>4</v>
      </c>
      <c r="C57" s="90" t="s">
        <v>270</v>
      </c>
      <c r="D57" s="94" t="s">
        <v>278</v>
      </c>
      <c r="E57" s="223">
        <f>IFERROR(VLOOKUP(A57,'1.2.Evaluación MAE'!$A$6:$C$65,3,0),0)</f>
        <v>1</v>
      </c>
      <c r="F57" s="220"/>
      <c r="G57" s="218"/>
      <c r="H57" s="225">
        <f t="shared" si="21"/>
        <v>1</v>
      </c>
      <c r="I57" s="219"/>
      <c r="J57" s="220"/>
      <c r="K57" s="221">
        <f t="shared" si="22"/>
        <v>1</v>
      </c>
      <c r="L57" s="218"/>
      <c r="M57" s="219"/>
      <c r="N57" s="217">
        <f t="shared" si="23"/>
        <v>1</v>
      </c>
      <c r="O57" s="218"/>
      <c r="P57" s="219"/>
      <c r="Q57" s="220"/>
      <c r="R57" s="218"/>
      <c r="S57" s="225">
        <f t="shared" si="24"/>
        <v>1</v>
      </c>
      <c r="T57" s="219"/>
    </row>
    <row r="58" spans="1:20" ht="60" customHeight="1" x14ac:dyDescent="0.25">
      <c r="A58" s="93">
        <v>52</v>
      </c>
      <c r="B58" s="347">
        <v>4</v>
      </c>
      <c r="C58" s="90" t="s">
        <v>270</v>
      </c>
      <c r="D58" s="94" t="s">
        <v>279</v>
      </c>
      <c r="E58" s="223">
        <f>IFERROR(VLOOKUP(A58,'1.2.Evaluación MAE'!$A$6:$C$65,3,0),0)</f>
        <v>1</v>
      </c>
      <c r="F58" s="220"/>
      <c r="G58" s="218"/>
      <c r="H58" s="218"/>
      <c r="I58" s="222">
        <f>E58</f>
        <v>1</v>
      </c>
      <c r="J58" s="220"/>
      <c r="K58" s="218"/>
      <c r="L58" s="218"/>
      <c r="M58" s="222">
        <f>E58</f>
        <v>1</v>
      </c>
      <c r="N58" s="220"/>
      <c r="O58" s="218"/>
      <c r="P58" s="222">
        <f>E58</f>
        <v>1</v>
      </c>
      <c r="Q58" s="220"/>
      <c r="R58" s="218"/>
      <c r="S58" s="225">
        <f t="shared" si="24"/>
        <v>1</v>
      </c>
      <c r="T58" s="219"/>
    </row>
    <row r="59" spans="1:20" ht="60" customHeight="1" x14ac:dyDescent="0.25">
      <c r="A59" s="93">
        <v>53</v>
      </c>
      <c r="B59" s="90">
        <v>5</v>
      </c>
      <c r="C59" s="90" t="s">
        <v>280</v>
      </c>
      <c r="D59" s="94" t="s">
        <v>281</v>
      </c>
      <c r="E59" s="223">
        <f>IFERROR(VLOOKUP(A59,'1.2.Evaluación MAE'!$A$6:$C$65,3,0),0)</f>
        <v>1</v>
      </c>
      <c r="F59" s="217">
        <f>E59</f>
        <v>1</v>
      </c>
      <c r="G59" s="218"/>
      <c r="H59" s="218"/>
      <c r="I59" s="219"/>
      <c r="J59" s="220"/>
      <c r="K59" s="218"/>
      <c r="L59" s="225">
        <f>E59</f>
        <v>1</v>
      </c>
      <c r="M59" s="219"/>
      <c r="N59" s="220"/>
      <c r="O59" s="225">
        <f>E59</f>
        <v>1</v>
      </c>
      <c r="P59" s="219"/>
      <c r="Q59" s="224">
        <f>E59</f>
        <v>1</v>
      </c>
      <c r="R59" s="218"/>
      <c r="S59" s="218"/>
      <c r="T59" s="219"/>
    </row>
    <row r="60" spans="1:20" ht="60" customHeight="1" x14ac:dyDescent="0.25">
      <c r="A60" s="93">
        <v>54</v>
      </c>
      <c r="B60" s="90">
        <v>5</v>
      </c>
      <c r="C60" s="90" t="s">
        <v>280</v>
      </c>
      <c r="D60" s="94" t="s">
        <v>282</v>
      </c>
      <c r="E60" s="223">
        <f>IFERROR(VLOOKUP(A60,'1.2.Evaluación MAE'!$A$6:$C$65,3,0),0)</f>
        <v>1</v>
      </c>
      <c r="F60" s="220"/>
      <c r="G60" s="225">
        <f>E60</f>
        <v>1</v>
      </c>
      <c r="H60" s="218"/>
      <c r="I60" s="219"/>
      <c r="J60" s="224">
        <f>E60</f>
        <v>1</v>
      </c>
      <c r="K60" s="218"/>
      <c r="L60" s="218"/>
      <c r="M60" s="219"/>
      <c r="N60" s="220"/>
      <c r="O60" s="225">
        <f>E60</f>
        <v>1</v>
      </c>
      <c r="P60" s="219"/>
      <c r="Q60" s="220"/>
      <c r="R60" s="225">
        <f>E60</f>
        <v>1</v>
      </c>
      <c r="S60" s="218"/>
      <c r="T60" s="219"/>
    </row>
    <row r="61" spans="1:20" ht="60" customHeight="1" x14ac:dyDescent="0.25">
      <c r="A61" s="93">
        <v>55</v>
      </c>
      <c r="B61" s="90">
        <v>5</v>
      </c>
      <c r="C61" s="90" t="s">
        <v>280</v>
      </c>
      <c r="D61" s="94" t="s">
        <v>283</v>
      </c>
      <c r="E61" s="223">
        <f>IFERROR(VLOOKUP(A61,'1.2.Evaluación MAE'!$A$6:$C$65,3,0),0)</f>
        <v>1</v>
      </c>
      <c r="F61" s="220"/>
      <c r="G61" s="225">
        <f>E61</f>
        <v>1</v>
      </c>
      <c r="H61" s="218"/>
      <c r="I61" s="219"/>
      <c r="J61" s="220"/>
      <c r="K61" s="225">
        <f>E61</f>
        <v>1</v>
      </c>
      <c r="L61" s="218"/>
      <c r="M61" s="219"/>
      <c r="N61" s="220"/>
      <c r="O61" s="225">
        <f>E61</f>
        <v>1</v>
      </c>
      <c r="P61" s="219"/>
      <c r="Q61" s="220"/>
      <c r="R61" s="218"/>
      <c r="S61" s="218"/>
      <c r="T61" s="226">
        <f>E61</f>
        <v>1</v>
      </c>
    </row>
    <row r="62" spans="1:20" ht="60" customHeight="1" x14ac:dyDescent="0.25">
      <c r="A62" s="93">
        <v>56</v>
      </c>
      <c r="B62" s="90">
        <v>5</v>
      </c>
      <c r="C62" s="90" t="s">
        <v>280</v>
      </c>
      <c r="D62" s="94" t="s">
        <v>284</v>
      </c>
      <c r="E62" s="223">
        <f>IFERROR(VLOOKUP(A62,'1.2.Evaluación MAE'!$A$6:$C$65,3,0),0)</f>
        <v>1</v>
      </c>
      <c r="F62" s="220"/>
      <c r="G62" s="225">
        <f>E62</f>
        <v>1</v>
      </c>
      <c r="H62" s="218"/>
      <c r="I62" s="219"/>
      <c r="J62" s="220"/>
      <c r="K62" s="225">
        <f>E62</f>
        <v>1</v>
      </c>
      <c r="L62" s="218"/>
      <c r="M62" s="219"/>
      <c r="N62" s="220"/>
      <c r="O62" s="225">
        <f>E62</f>
        <v>1</v>
      </c>
      <c r="P62" s="219"/>
      <c r="Q62" s="220"/>
      <c r="R62" s="218"/>
      <c r="S62" s="225">
        <f>E62</f>
        <v>1</v>
      </c>
      <c r="T62" s="219"/>
    </row>
    <row r="63" spans="1:20" ht="60" customHeight="1" x14ac:dyDescent="0.25">
      <c r="A63" s="93">
        <v>57</v>
      </c>
      <c r="B63" s="90">
        <v>5</v>
      </c>
      <c r="C63" s="90" t="s">
        <v>280</v>
      </c>
      <c r="D63" s="94" t="s">
        <v>285</v>
      </c>
      <c r="E63" s="223">
        <f>IFERROR(VLOOKUP(A63,'1.2.Evaluación MAE'!$A$6:$C$65,3,0),0)</f>
        <v>1</v>
      </c>
      <c r="F63" s="220"/>
      <c r="G63" s="218"/>
      <c r="H63" s="225">
        <f>E63</f>
        <v>1</v>
      </c>
      <c r="I63" s="219"/>
      <c r="J63" s="220"/>
      <c r="K63" s="225">
        <f>E63</f>
        <v>1</v>
      </c>
      <c r="L63" s="218"/>
      <c r="M63" s="219"/>
      <c r="N63" s="217">
        <f>E63</f>
        <v>1</v>
      </c>
      <c r="O63" s="218"/>
      <c r="P63" s="219"/>
      <c r="Q63" s="220"/>
      <c r="R63" s="218"/>
      <c r="S63" s="225">
        <f>E63</f>
        <v>1</v>
      </c>
      <c r="T63" s="219"/>
    </row>
    <row r="64" spans="1:20" ht="60" customHeight="1" x14ac:dyDescent="0.25">
      <c r="A64" s="93">
        <v>58</v>
      </c>
      <c r="B64" s="90">
        <v>5</v>
      </c>
      <c r="C64" s="90" t="s">
        <v>280</v>
      </c>
      <c r="D64" s="94" t="s">
        <v>286</v>
      </c>
      <c r="E64" s="223">
        <f>IFERROR(VLOOKUP(A64,'1.2.Evaluación MAE'!$A$6:$C$65,3,0),0)</f>
        <v>1</v>
      </c>
      <c r="F64" s="220"/>
      <c r="G64" s="218"/>
      <c r="H64" s="218"/>
      <c r="I64" s="226">
        <f>E64</f>
        <v>1</v>
      </c>
      <c r="J64" s="220"/>
      <c r="K64" s="218"/>
      <c r="L64" s="218"/>
      <c r="M64" s="226">
        <f>E64</f>
        <v>1</v>
      </c>
      <c r="N64" s="220"/>
      <c r="O64" s="218"/>
      <c r="P64" s="226">
        <f>E64</f>
        <v>1</v>
      </c>
      <c r="Q64" s="220"/>
      <c r="R64" s="218"/>
      <c r="S64" s="225">
        <f>E64</f>
        <v>1</v>
      </c>
      <c r="T64" s="219"/>
    </row>
    <row r="65" spans="1:20" ht="60" customHeight="1" thickBot="1" x14ac:dyDescent="0.3">
      <c r="A65" s="96">
        <v>59</v>
      </c>
      <c r="B65" s="97">
        <v>5</v>
      </c>
      <c r="C65" s="97" t="s">
        <v>280</v>
      </c>
      <c r="D65" s="98" t="s">
        <v>287</v>
      </c>
      <c r="E65" s="227">
        <f>IFERROR(VLOOKUP(A65,'1.2.Evaluación MAE'!$A$6:$C$65,3,0),0)</f>
        <v>1</v>
      </c>
      <c r="F65" s="228"/>
      <c r="G65" s="229"/>
      <c r="H65" s="229"/>
      <c r="I65" s="230">
        <f>E65</f>
        <v>1</v>
      </c>
      <c r="J65" s="228"/>
      <c r="K65" s="229"/>
      <c r="L65" s="229"/>
      <c r="M65" s="230">
        <f>E65</f>
        <v>1</v>
      </c>
      <c r="N65" s="228"/>
      <c r="O65" s="229"/>
      <c r="P65" s="230">
        <f>E65</f>
        <v>1</v>
      </c>
      <c r="Q65" s="228"/>
      <c r="R65" s="229"/>
      <c r="S65" s="231">
        <f>E65</f>
        <v>1</v>
      </c>
      <c r="T65" s="232"/>
    </row>
  </sheetData>
  <sheetProtection algorithmName="SHA-512" hashValue="n8d5/qHCfOP17mvvuGIVNdQnjcNBnngyE5j/0gbklg93Es7KMUnI+AXRt6cpScSXXyu9pyaIefYiVne/x4FUDA==" saltValue="lG6m5Qv9zpJF9Vmmgkw8kg==" spinCount="100000" autoFilter="0" pivotTables="0"/>
  <autoFilter ref="A5:T65" xr:uid="{D47C6612-3E6B-3141-89D8-313DB20A53CD}"/>
  <mergeCells count="6">
    <mergeCell ref="A2:T2"/>
    <mergeCell ref="F4:I4"/>
    <mergeCell ref="J4:M4"/>
    <mergeCell ref="N4:P4"/>
    <mergeCell ref="Q4:T4"/>
    <mergeCell ref="B4:E4"/>
  </mergeCells>
  <hyperlinks>
    <hyperlink ref="A1" location="Inicio!A1" display="Inicio" xr:uid="{B0BDDB13-385F-A94B-A94D-104765DB3473}"/>
  </hyperlinks>
  <pageMargins left="0.7" right="0.7" top="0.75" bottom="0.75" header="0.3" footer="0.3"/>
  <pageSetup orientation="portrait" horizontalDpi="0" verticalDpi="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E22E4-06E1-A44B-9A0D-6402F0EFDE58}">
  <sheetPr codeName="Hoja6"/>
  <dimension ref="A1:E65"/>
  <sheetViews>
    <sheetView showGridLines="0" zoomScale="110" zoomScaleNormal="110" workbookViewId="0"/>
  </sheetViews>
  <sheetFormatPr baseColWidth="10" defaultColWidth="11" defaultRowHeight="15.75" x14ac:dyDescent="0.25"/>
  <cols>
    <col min="2" max="2" width="40" customWidth="1"/>
    <col min="3" max="3" width="8.375" bestFit="1" customWidth="1"/>
    <col min="4" max="4" width="49.5" customWidth="1"/>
    <col min="5" max="5" width="58.375" customWidth="1"/>
  </cols>
  <sheetData>
    <row r="1" spans="1:5" x14ac:dyDescent="0.25">
      <c r="A1" s="273" t="s">
        <v>52</v>
      </c>
    </row>
    <row r="2" spans="1:5" ht="57" customHeight="1" x14ac:dyDescent="0.25">
      <c r="A2" s="384" t="s">
        <v>288</v>
      </c>
      <c r="B2" s="385"/>
      <c r="C2" s="385"/>
      <c r="D2" s="385"/>
      <c r="E2" s="385"/>
    </row>
    <row r="3" spans="1:5" ht="16.5" thickBot="1" x14ac:dyDescent="0.3"/>
    <row r="4" spans="1:5" ht="27.95" customHeight="1" thickBot="1" x14ac:dyDescent="0.3">
      <c r="D4" s="376" t="s">
        <v>289</v>
      </c>
      <c r="E4" s="378"/>
    </row>
    <row r="5" spans="1:5" ht="32.25" thickBot="1" x14ac:dyDescent="0.3">
      <c r="A5" s="274" t="s">
        <v>215</v>
      </c>
      <c r="B5" s="274" t="s">
        <v>218</v>
      </c>
      <c r="C5" s="300" t="s">
        <v>192</v>
      </c>
      <c r="D5" s="303" t="s">
        <v>290</v>
      </c>
      <c r="E5" s="302" t="s">
        <v>291</v>
      </c>
    </row>
    <row r="6" spans="1:5" ht="99.95" customHeight="1" x14ac:dyDescent="0.25">
      <c r="A6" s="90">
        <v>0</v>
      </c>
      <c r="B6" s="206" t="str">
        <f>VLOOKUP(A6,'1.1.Atributos MAE'!$A$6:$D$65,4,0)</f>
        <v>(0)Existen planes para desarrollar la AE o estan en proceso de construcción.</v>
      </c>
      <c r="C6" s="301">
        <v>1</v>
      </c>
      <c r="D6" s="304" t="s">
        <v>292</v>
      </c>
      <c r="E6" s="201" t="s">
        <v>293</v>
      </c>
    </row>
    <row r="7" spans="1:5" ht="99.95" customHeight="1" x14ac:dyDescent="0.25">
      <c r="A7" s="90">
        <v>1</v>
      </c>
      <c r="B7" s="206" t="str">
        <f>VLOOKUP(A7,'1.1.Atributos MAE'!$A$6:$D$65,4,0)</f>
        <v>(1) Existe una política institucional aprobada para el desarrollo, mantenimiento y uso de AE</v>
      </c>
      <c r="C7" s="301">
        <v>1</v>
      </c>
      <c r="D7" s="203"/>
      <c r="E7" s="202"/>
    </row>
    <row r="8" spans="1:5" ht="99.95" customHeight="1" x14ac:dyDescent="0.25">
      <c r="A8" s="90">
        <v>2</v>
      </c>
      <c r="B8" s="206" t="str">
        <f>VLOOKUP(A8,'1.1.Atributos MAE'!$A$6:$D$65,4,0)</f>
        <v>(2) Existe comité ejecutivo u órgano para la toma de decisiones de AE que represente a la entidad y sea responsable para AE</v>
      </c>
      <c r="C8" s="301">
        <v>1</v>
      </c>
      <c r="D8" s="203"/>
      <c r="E8" s="202"/>
    </row>
    <row r="9" spans="1:5" ht="99.95" customHeight="1" x14ac:dyDescent="0.25">
      <c r="A9" s="90">
        <v>3</v>
      </c>
      <c r="B9" s="206" t="str">
        <f>VLOOKUP(A9,'1.1.Atributos MAE'!$A$6:$D$65,4,0)</f>
        <v>(3) El comité ejecutivo, u órgano para la toma de decisiones de AE esta ejecutando acciones proactivas para afrontar las barreras culturales de AE</v>
      </c>
      <c r="C9" s="301">
        <v>1</v>
      </c>
      <c r="D9" s="203"/>
      <c r="E9" s="202"/>
    </row>
    <row r="10" spans="1:5" ht="99.95" customHeight="1" x14ac:dyDescent="0.25">
      <c r="A10" s="90">
        <v>4</v>
      </c>
      <c r="B10" s="206" t="str">
        <f>VLOOKUP(A10,'1.1.Atributos MAE'!$A$6:$D$65,4,0)</f>
        <v>(4) El comité ejecutivo u órgano para la toma de decisiones de AE tiene entrenamiento en principios , conceptos de AE y MRAE</v>
      </c>
      <c r="C10" s="301">
        <v>1</v>
      </c>
      <c r="D10" s="203"/>
      <c r="E10" s="202"/>
    </row>
    <row r="11" spans="1:5" ht="99.95" customHeight="1" x14ac:dyDescent="0.25">
      <c r="A11" s="90">
        <v>5</v>
      </c>
      <c r="B11" s="206" t="str">
        <f>VLOOKUP(A11,'1.1.Atributos MAE'!$A$6:$D$65,4,0)</f>
        <v xml:space="preserve">(5) Existe arquitecto empresarial líder </v>
      </c>
      <c r="C11" s="301">
        <v>1</v>
      </c>
      <c r="D11" s="203"/>
      <c r="E11" s="202"/>
    </row>
    <row r="12" spans="1:5" ht="99.95" customHeight="1" x14ac:dyDescent="0.25">
      <c r="A12" s="90">
        <v>6</v>
      </c>
      <c r="B12" s="206" t="str">
        <f>VLOOKUP(A12,'1.1.Atributos MAE'!$A$6:$D$65,4,0)</f>
        <v>(6) El proposito de la AE esta claramente definido</v>
      </c>
      <c r="C12" s="301">
        <v>1</v>
      </c>
      <c r="D12" s="203"/>
      <c r="E12" s="202"/>
    </row>
    <row r="13" spans="1:5" ht="99.95" customHeight="1" x14ac:dyDescent="0.25">
      <c r="A13" s="90">
        <v>7</v>
      </c>
      <c r="B13" s="206" t="str">
        <f>VLOOKUP(A13,'1.1.Atributos MAE'!$A$6:$D$65,4,0)</f>
        <v>(7) Marco de Referencia de Arquitectura Empresarial MRAE adoptado y articulado con otros frameworks</v>
      </c>
      <c r="C13" s="301">
        <v>1</v>
      </c>
      <c r="D13" s="203"/>
      <c r="E13" s="202"/>
    </row>
    <row r="14" spans="1:5" ht="99.95" customHeight="1" x14ac:dyDescent="0.25">
      <c r="A14" s="90">
        <v>8</v>
      </c>
      <c r="B14" s="206" t="str">
        <f>VLOOKUP(A14,'1.1.Atributos MAE'!$A$6:$D$65,4,0)</f>
        <v>(8) Proceso de AE con responsabilidades y mecanismos de seguimiento y control definidos.</v>
      </c>
      <c r="C14" s="301">
        <v>1</v>
      </c>
      <c r="D14" s="203"/>
      <c r="E14" s="202"/>
    </row>
    <row r="15" spans="1:5" ht="99.95" customHeight="1" x14ac:dyDescent="0.25">
      <c r="A15" s="90">
        <v>9</v>
      </c>
      <c r="B15" s="206" t="str">
        <f>VLOOKUP(A15,'1.1.Atributos MAE'!$A$6:$D$65,4,0)</f>
        <v>(9) Necesidades presupuestales de AE se encuentran justificadas y asignadas/reservadas</v>
      </c>
      <c r="C15" s="301">
        <v>1</v>
      </c>
      <c r="D15" s="203"/>
      <c r="E15" s="202"/>
    </row>
    <row r="16" spans="1:5" ht="99.95" customHeight="1" x14ac:dyDescent="0.25">
      <c r="A16" s="90">
        <v>10</v>
      </c>
      <c r="B16" s="206" t="str">
        <f>VLOOKUP(A16,'1.1.Atributos MAE'!$A$6:$D$65,4,0)</f>
        <v>(10) Existe en la entidad una estructura organizacional para el desarrollo y gestión de la AE: una oficina, grupo de trabajo o responsable.</v>
      </c>
      <c r="C16" s="301">
        <v>1</v>
      </c>
      <c r="D16" s="203"/>
      <c r="E16" s="202"/>
    </row>
    <row r="17" spans="1:5" ht="99.95" customHeight="1" x14ac:dyDescent="0.25">
      <c r="A17" s="90">
        <v>11</v>
      </c>
      <c r="B17" s="206" t="str">
        <f>VLOOKUP(A17,'1.1.Atributos MAE'!$A$6:$D$65,4,0)</f>
        <v>(11) Posiciones o roles clave para el gobierno y liderazgo en el desarrollo de la AE de la entidad asignados.</v>
      </c>
      <c r="C17" s="301">
        <v>1</v>
      </c>
      <c r="D17" s="203"/>
      <c r="E17" s="202"/>
    </row>
    <row r="18" spans="1:5" ht="99.95" customHeight="1" x14ac:dyDescent="0.25">
      <c r="A18" s="90">
        <v>12</v>
      </c>
      <c r="B18" s="206" t="str">
        <f>VLOOKUP(A18,'1.1.Atributos MAE'!$A$6:$D$65,4,0)</f>
        <v xml:space="preserve">(12) Existe plan de capital humano de la estructura organizacional de la AE </v>
      </c>
      <c r="C18" s="301">
        <v>1</v>
      </c>
      <c r="D18" s="203"/>
      <c r="E18" s="202"/>
    </row>
    <row r="19" spans="1:5" ht="99.95" customHeight="1" x14ac:dyDescent="0.25">
      <c r="A19" s="90">
        <v>13</v>
      </c>
      <c r="B19" s="206" t="str">
        <f>VLOOKUP(A19,'1.1.Atributos MAE'!$A$6:$D$65,4,0)</f>
        <v>(13) Existe metodologia de desarrollo y mantenimiento de AE</v>
      </c>
      <c r="C19" s="301">
        <v>1</v>
      </c>
      <c r="D19" s="203"/>
      <c r="E19" s="202"/>
    </row>
    <row r="20" spans="1:5" ht="99.95" customHeight="1" x14ac:dyDescent="0.25">
      <c r="A20" s="90">
        <v>14</v>
      </c>
      <c r="B20" s="206" t="str">
        <f>VLOOKUP(A20,'1.1.Atributos MAE'!$A$6:$D$65,4,0)</f>
        <v xml:space="preserve">(14) Existen herramientas digitales para la gestión del repositorio de AE </v>
      </c>
      <c r="C20" s="301">
        <v>1</v>
      </c>
      <c r="D20" s="203"/>
      <c r="E20" s="202"/>
    </row>
    <row r="21" spans="1:5" ht="99.95" customHeight="1" x14ac:dyDescent="0.25">
      <c r="A21" s="90">
        <v>15</v>
      </c>
      <c r="B21" s="206" t="str">
        <f>VLOOKUP(A21,'1.1.Atributos MAE'!$A$6:$D$65,4,0)</f>
        <v>(15) Plan de gestión de la AE existe y esta articulado con otras disciplinas de la gestión institucional</v>
      </c>
      <c r="C21" s="301">
        <v>1</v>
      </c>
      <c r="D21" s="203"/>
      <c r="E21" s="202"/>
    </row>
    <row r="22" spans="1:5" ht="99.95" customHeight="1" x14ac:dyDescent="0.25">
      <c r="A22" s="90">
        <v>16</v>
      </c>
      <c r="B22" s="206" t="str">
        <f>VLOOKUP(A22,'1.1.Atributos MAE'!$A$6:$D$65,4,0)</f>
        <v xml:space="preserve">(16) Existe estructura de descomposición del trabajo (WBS) y programación para desarrollar los ejercicios de AE </v>
      </c>
      <c r="C22" s="301">
        <v>1</v>
      </c>
      <c r="D22" s="203"/>
      <c r="E22" s="202"/>
    </row>
    <row r="23" spans="1:5" ht="99.95" customHeight="1" x14ac:dyDescent="0.25">
      <c r="A23" s="90">
        <v>17</v>
      </c>
      <c r="B23" s="206" t="str">
        <f>VLOOKUP(A23,'1.1.Atributos MAE'!$A$6:$D$65,4,0)</f>
        <v>(17) Se han identificado y priorizado los ejercicios de AE que permiten desarrollar la AE de la entidad</v>
      </c>
      <c r="C23" s="301">
        <v>1</v>
      </c>
      <c r="D23" s="203"/>
      <c r="E23" s="202"/>
    </row>
    <row r="24" spans="1:5" ht="99.95" customHeight="1" x14ac:dyDescent="0.25">
      <c r="A24" s="90">
        <v>18</v>
      </c>
      <c r="B24" s="206" t="str">
        <f>VLOOKUP(A24,'1.1.Atributos MAE'!$A$6:$D$65,4,0)</f>
        <v>(18) Nivel de preparación de la estructura organizacional de AE medido y reportado.</v>
      </c>
      <c r="C24" s="301">
        <v>1</v>
      </c>
      <c r="D24" s="203"/>
      <c r="E24" s="202"/>
    </row>
    <row r="25" spans="1:5" ht="99.95" customHeight="1" x14ac:dyDescent="0.25">
      <c r="A25" s="90">
        <v>19</v>
      </c>
      <c r="B25" s="206" t="str">
        <f>VLOOKUP(A25,'1.1.Atributos MAE'!$A$6:$D$65,4,0)</f>
        <v>(19) Alta dirección de la entidad y representantes de los directivos estan involucrados activamente en el desarrollo de la arquitectura</v>
      </c>
      <c r="C25" s="301">
        <v>1</v>
      </c>
      <c r="D25" s="203"/>
      <c r="E25" s="202"/>
    </row>
    <row r="26" spans="1:5" ht="99.95" customHeight="1" x14ac:dyDescent="0.25">
      <c r="A26" s="90">
        <v>20</v>
      </c>
      <c r="B26" s="206" t="str">
        <f>VLOOKUP(A26,'1.1.Atributos MAE'!$A$6:$D$65,4,0)</f>
        <v>(20) Planes de capital humano de AE implementados</v>
      </c>
      <c r="C26" s="301">
        <v>1</v>
      </c>
      <c r="D26" s="203"/>
      <c r="E26" s="202"/>
    </row>
    <row r="27" spans="1:5" ht="99.95" customHeight="1" x14ac:dyDescent="0.25">
      <c r="A27" s="90">
        <v>21</v>
      </c>
      <c r="B27" s="206" t="str">
        <f>VLOOKUP(A27,'1.1.Atributos MAE'!$A$6:$D$65,4,0)</f>
        <v>(21) El plan de capital humano de la estrucutura organizacional de AE incluye contratación de terceros o profesionales contratistas</v>
      </c>
      <c r="C27" s="301">
        <v>1</v>
      </c>
      <c r="D27" s="203"/>
      <c r="E27" s="202"/>
    </row>
    <row r="28" spans="1:5" ht="99.95" customHeight="1" x14ac:dyDescent="0.25">
      <c r="A28" s="90">
        <v>22</v>
      </c>
      <c r="B28" s="206" t="str">
        <f>VLOOKUP(A28,'1.1.Atributos MAE'!$A$6:$D$65,4,0)</f>
        <v>(22) Personal de la estructura organizacional de AE entrenado en el framework, metodologia y herramientas de AE</v>
      </c>
      <c r="C28" s="301">
        <v>1</v>
      </c>
      <c r="D28" s="203"/>
      <c r="E28" s="202"/>
    </row>
    <row r="29" spans="1:5" ht="99.95" customHeight="1" x14ac:dyDescent="0.25">
      <c r="A29" s="90">
        <v>23</v>
      </c>
      <c r="B29" s="206" t="str">
        <f>VLOOKUP(A29,'1.1.Atributos MAE'!$A$6:$D$65,4,0)</f>
        <v>(23) Existen metodologias y herramientas para determinar el seguimiento a la inversión</v>
      </c>
      <c r="C29" s="301">
        <v>1</v>
      </c>
      <c r="D29" s="203"/>
      <c r="E29" s="202"/>
    </row>
    <row r="30" spans="1:5" ht="99.95" customHeight="1" x14ac:dyDescent="0.25">
      <c r="A30" s="90">
        <v>24</v>
      </c>
      <c r="B30" s="206" t="str">
        <f>VLOOKUP(A30,'1.1.Atributos MAE'!$A$6:$D$65,4,0)</f>
        <v>(24) Existen metodologias y herramientas para determinar que la arquitectura de la entidad se encuentre alineada con la AE de sus adscritas o con las entidades del sector o territorio que lidera</v>
      </c>
      <c r="C30" s="301">
        <v>1</v>
      </c>
      <c r="D30" s="203"/>
      <c r="E30" s="202"/>
    </row>
    <row r="31" spans="1:5" ht="99.95" customHeight="1" x14ac:dyDescent="0.25">
      <c r="A31" s="90">
        <v>25</v>
      </c>
      <c r="B31" s="206" t="str">
        <f>VLOOKUP(A31,'1.1.Atributos MAE'!$A$6:$D$65,4,0)</f>
        <v>(25) Riesgos relacionados con la AE identificados, reportados y mitigados</v>
      </c>
      <c r="C31" s="301">
        <v>1</v>
      </c>
      <c r="D31" s="203"/>
      <c r="E31" s="202"/>
    </row>
    <row r="32" spans="1:5" ht="99.95" customHeight="1" x14ac:dyDescent="0.25">
      <c r="A32" s="90">
        <v>26</v>
      </c>
      <c r="B32" s="206" t="str">
        <f>VLOOKUP(A32,'1.1.Atributos MAE'!$A$6:$D$65,4,0)</f>
        <v>(26) Versiones iniciales de  AE "as-is" y "to-be" y plan de transición estan siendo desarrollados.</v>
      </c>
      <c r="C32" s="301">
        <v>1</v>
      </c>
      <c r="D32" s="203"/>
      <c r="E32" s="202"/>
    </row>
    <row r="33" spans="1:5" ht="99.95" customHeight="1" x14ac:dyDescent="0.25">
      <c r="A33" s="90">
        <v>27</v>
      </c>
      <c r="B33" s="206" t="str">
        <f>VLOOKUP(A33,'1.1.Atributos MAE'!$A$6:$D$65,4,0)</f>
        <v>(27) Version inicial de la AE de la entidad donde se describa a la organización en terminos de cada dominio de la arquitectura (Institucional, Información, Sistemas de información, Tecnología y Seguridad) está siendo desarrollada.</v>
      </c>
      <c r="C33" s="301">
        <v>1</v>
      </c>
      <c r="D33" s="203"/>
      <c r="E33" s="202"/>
    </row>
    <row r="34" spans="1:5" ht="99.95" customHeight="1" x14ac:dyDescent="0.25">
      <c r="A34" s="90">
        <v>28</v>
      </c>
      <c r="B34" s="206" t="str">
        <f>VLOOKUP(A34,'1.1.Atributos MAE'!$A$6:$D$65,4,0)</f>
        <v>(28) Se estan desarrollando uno o más ejercicios de AE en la entidad</v>
      </c>
      <c r="C34" s="301">
        <v>1</v>
      </c>
      <c r="D34" s="203"/>
      <c r="E34" s="202"/>
    </row>
    <row r="35" spans="1:5" ht="99.95" customHeight="1" x14ac:dyDescent="0.25">
      <c r="A35" s="90">
        <v>29</v>
      </c>
      <c r="B35" s="206" t="str">
        <f>VLOOKUP(A35,'1.1.Atributos MAE'!$A$6:$D$65,4,0)</f>
        <v>(29) Los productos de arquitectura se estan desarrollando de acuerdo al framework de contenido de AE</v>
      </c>
      <c r="C35" s="301">
        <v>1</v>
      </c>
      <c r="D35" s="203"/>
      <c r="E35" s="202"/>
    </row>
    <row r="36" spans="1:5" ht="99.95" customHeight="1" x14ac:dyDescent="0.25">
      <c r="A36" s="90">
        <v>30</v>
      </c>
      <c r="B36" s="206" t="str">
        <f>VLOOKUP(A36,'1.1.Atributos MAE'!$A$6:$D$65,4,0)</f>
        <v>(30) Los productos de arquitectura se estan desarrollando de acuerdo a la metodología de AE definida.</v>
      </c>
      <c r="C36" s="301">
        <v>1</v>
      </c>
      <c r="D36" s="203"/>
      <c r="E36" s="202"/>
    </row>
    <row r="37" spans="1:5" ht="99.95" customHeight="1" x14ac:dyDescent="0.25">
      <c r="A37" s="90">
        <v>31</v>
      </c>
      <c r="B37" s="206" t="str">
        <f>VLOOKUP(A37,'1.1.Atributos MAE'!$A$6:$D$65,4,0)</f>
        <v>(31) Se estan utilizando herramientas de AE  para desarrollar los productos de arquitectura</v>
      </c>
      <c r="C37" s="301">
        <v>1</v>
      </c>
      <c r="D37" s="203"/>
      <c r="E37" s="202"/>
    </row>
    <row r="38" spans="1:5" ht="99.95" customHeight="1" x14ac:dyDescent="0.25">
      <c r="A38" s="90">
        <v>32</v>
      </c>
      <c r="B38" s="206" t="str">
        <f>VLOOKUP(A38,'1.1.Atributos MAE'!$A$6:$D$65,4,0)</f>
        <v>(32) El progreso en el desarrollo de la arquitectura es medido y reportado.</v>
      </c>
      <c r="C38" s="301">
        <v>1</v>
      </c>
      <c r="D38" s="203"/>
      <c r="E38" s="202"/>
    </row>
    <row r="39" spans="1:5" ht="99.95" customHeight="1" x14ac:dyDescent="0.25">
      <c r="A39" s="90">
        <v>33</v>
      </c>
      <c r="B39" s="206" t="str">
        <f>VLOOKUP(A39,'1.1.Atributos MAE'!$A$6:$D$65,4,0)</f>
        <v>(33) El comité ejecutivo, u órgano para la toma de decisiones de AE, ha aprobado la versión inicial de la AE corporativa</v>
      </c>
      <c r="C39" s="301">
        <v>1</v>
      </c>
      <c r="D39" s="203"/>
      <c r="E39" s="202"/>
    </row>
    <row r="40" spans="1:5" ht="99.95" customHeight="1" x14ac:dyDescent="0.25">
      <c r="A40" s="90">
        <v>34</v>
      </c>
      <c r="B40" s="206" t="str">
        <f>VLOOKUP(A40,'1.1.Atributos MAE'!$A$6:$D$65,4,0)</f>
        <v>(34) Las partes interesadadas (stakeholders) clave han aprobado la versión actual del ejercicio de AE de su interés.</v>
      </c>
      <c r="C40" s="301">
        <v>1</v>
      </c>
      <c r="D40" s="203"/>
      <c r="E40" s="202"/>
    </row>
    <row r="41" spans="1:5" ht="99.95" customHeight="1" x14ac:dyDescent="0.25">
      <c r="A41" s="90">
        <v>35</v>
      </c>
      <c r="B41" s="206" t="str">
        <f>VLOOKUP(A41,'1.1.Atributos MAE'!$A$6:$D$65,4,0)</f>
        <v>(35) El desarrollo de AE en la entidad se articula con otras funciones y procesos del modelo de gestión institucional para garantizar la integralidad de cada ejercicio de AE</v>
      </c>
      <c r="C41" s="301">
        <v>1</v>
      </c>
      <c r="D41" s="203"/>
      <c r="E41" s="202"/>
    </row>
    <row r="42" spans="1:5" ht="99.95" customHeight="1" x14ac:dyDescent="0.25">
      <c r="A42" s="90">
        <v>36</v>
      </c>
      <c r="B42" s="206" t="str">
        <f>VLOOKUP(A42,'1.1.Atributos MAE'!$A$6:$D$65,4,0)</f>
        <v>(36) Se satisfacen las necesidades de capital humano de la estructura organizacional de AE</v>
      </c>
      <c r="C42" s="301">
        <v>1</v>
      </c>
      <c r="D42" s="203"/>
      <c r="E42" s="202"/>
    </row>
    <row r="43" spans="1:5" ht="99.95" customHeight="1" x14ac:dyDescent="0.25">
      <c r="A43" s="90">
        <v>37</v>
      </c>
      <c r="B43" s="206" t="str">
        <f>VLOOKUP(A43,'1.1.Atributos MAE'!$A$6:$D$65,4,0)</f>
        <v>(37) Versiones iniciales de la AE "as-is" y "to-be" de la entidad  y hoja de ruta existen</v>
      </c>
      <c r="C43" s="301">
        <v>1</v>
      </c>
      <c r="D43" s="203"/>
      <c r="E43" s="202"/>
    </row>
    <row r="44" spans="1:5" ht="99.95" customHeight="1" x14ac:dyDescent="0.25">
      <c r="A44" s="90">
        <v>38</v>
      </c>
      <c r="B44" s="206" t="str">
        <f>VLOOKUP(A44,'1.1.Atributos MAE'!$A$6:$D$65,4,0)</f>
        <v>(38) En la versión inicial de la AE de la entidad se incluyen las vistas de los dominios de la AE (Institucional, Información, Sistemas de información, Tecnología y Seguridad)</v>
      </c>
      <c r="C44" s="301">
        <v>1</v>
      </c>
      <c r="D44" s="203"/>
      <c r="E44" s="202"/>
    </row>
    <row r="45" spans="1:5" ht="99.95" customHeight="1" x14ac:dyDescent="0.25">
      <c r="A45" s="90">
        <v>39</v>
      </c>
      <c r="B45" s="206" t="str">
        <f>VLOOKUP(A45,'1.1.Atributos MAE'!$A$6:$D$65,4,0)</f>
        <v>(39) Existen una o más ejercicios de AE  y estan siendo implementados</v>
      </c>
      <c r="C45" s="301">
        <v>1</v>
      </c>
      <c r="D45" s="203"/>
      <c r="E45" s="202"/>
    </row>
    <row r="46" spans="1:5" ht="99.95" customHeight="1" x14ac:dyDescent="0.25">
      <c r="A46" s="90">
        <v>40</v>
      </c>
      <c r="B46" s="206" t="str">
        <f>VLOOKUP(A46,'1.1.Atributos MAE'!$A$6:$D$65,4,0)</f>
        <v>(40) Calidad del producto de AE es medido y reportado</v>
      </c>
      <c r="C46" s="301">
        <v>1</v>
      </c>
      <c r="D46" s="203"/>
      <c r="E46" s="202"/>
    </row>
    <row r="47" spans="1:5" ht="99.95" customHeight="1" x14ac:dyDescent="0.25">
      <c r="A47" s="90">
        <v>41</v>
      </c>
      <c r="B47" s="206" t="str">
        <f>VLOOKUP(A47,'1.1.Atributos MAE'!$A$6:$D$65,4,0)</f>
        <v>(41) Los resultados y salidas de la AE son medidos y reportados</v>
      </c>
      <c r="C47" s="301">
        <v>1</v>
      </c>
      <c r="D47" s="203"/>
      <c r="E47" s="202"/>
    </row>
    <row r="48" spans="1:5" ht="99.95" customHeight="1" x14ac:dyDescent="0.25">
      <c r="A48" s="90">
        <v>42</v>
      </c>
      <c r="B48" s="206" t="str">
        <f>VLOOKUP(A48,'1.1.Atributos MAE'!$A$6:$D$65,4,0)</f>
        <v>(42) El seguimiento a la  inversión de los ejercicios de AE es medido y reportado</v>
      </c>
      <c r="C48" s="301">
        <v>1</v>
      </c>
      <c r="D48" s="203"/>
      <c r="E48" s="202"/>
    </row>
    <row r="49" spans="1:5" ht="99.95" customHeight="1" x14ac:dyDescent="0.25">
      <c r="A49" s="90">
        <v>43</v>
      </c>
      <c r="B49" s="206" t="str">
        <f>VLOOKUP(A49,'1.1.Atributos MAE'!$A$6:$D$65,4,0)</f>
        <v>(43) La alineación de la AE de la entidad con sus adscritas o con las de entidades del sector o territorio que lidera es medida y reportada.</v>
      </c>
      <c r="C49" s="301">
        <v>1</v>
      </c>
      <c r="D49" s="203"/>
      <c r="E49" s="202"/>
    </row>
    <row r="50" spans="1:5" ht="99.95" customHeight="1" x14ac:dyDescent="0.25">
      <c r="A50" s="90">
        <v>44</v>
      </c>
      <c r="B50" s="206" t="str">
        <f>VLOOKUP(A50,'1.1.Atributos MAE'!$A$6:$D$65,4,0)</f>
        <v xml:space="preserve">(44) La alta dirección de la entidad  ha aprobado la versión actual de la AE de la entidad, de sus adscritas o del sector o terrorio que lidera. </v>
      </c>
      <c r="C50" s="301">
        <v>1</v>
      </c>
      <c r="D50" s="203"/>
      <c r="E50" s="202"/>
    </row>
    <row r="51" spans="1:5" ht="99.95" customHeight="1" x14ac:dyDescent="0.25">
      <c r="A51" s="90">
        <v>45</v>
      </c>
      <c r="B51" s="206" t="str">
        <f>VLOOKUP(A51,'1.1.Atributos MAE'!$A$6:$D$65,4,0)</f>
        <v>(45) Los directivos de la entidad han aprobado la versión actual de los ejercicios de AE correspondientes o relacionados con la función institucional que desempeñan.</v>
      </c>
      <c r="C51" s="301">
        <v>1</v>
      </c>
      <c r="D51" s="203"/>
      <c r="E51" s="202"/>
    </row>
    <row r="52" spans="1:5" ht="99.95" customHeight="1" x14ac:dyDescent="0.25">
      <c r="A52" s="90">
        <v>46</v>
      </c>
      <c r="B52" s="206" t="str">
        <f>VLOOKUP(A52,'1.1.Atributos MAE'!$A$6:$D$65,4,0)</f>
        <v>(46) Herramientas integradas del repositorio y metodologia y framework comun de EA se utilizan en toda la entidad</v>
      </c>
      <c r="C52" s="301">
        <v>1</v>
      </c>
      <c r="D52" s="203"/>
      <c r="E52" s="202"/>
    </row>
    <row r="53" spans="1:5" ht="99.95" customHeight="1" x14ac:dyDescent="0.25">
      <c r="A53" s="90">
        <v>47</v>
      </c>
      <c r="B53" s="206" t="str">
        <f>VLOOKUP(A53,'1.1.Atributos MAE'!$A$6:$D$65,4,0)</f>
        <v xml:space="preserve">(47) Existe una articulación entre las áreas responsables de AE a nivel sectorial o territorial: aúnan esfuezos, comparten recursos u operan de manera coordinada. </v>
      </c>
      <c r="C53" s="301">
        <v>1</v>
      </c>
      <c r="D53" s="203"/>
      <c r="E53" s="202"/>
    </row>
    <row r="54" spans="1:5" ht="99.95" customHeight="1" x14ac:dyDescent="0.25">
      <c r="A54" s="90">
        <v>48</v>
      </c>
      <c r="B54" s="206" t="str">
        <f>VLOOKUP(A54,'1.1.Atributos MAE'!$A$6:$D$65,4,0)</f>
        <v>(48) AE de la Entidad y hoja de ruta tienen alcance en toda la entidad o, en sus entidades adscritas, del sector o territorio que lidera</v>
      </c>
      <c r="C54" s="301">
        <v>1</v>
      </c>
      <c r="D54" s="203"/>
      <c r="E54" s="202"/>
    </row>
    <row r="55" spans="1:5" ht="99.95" customHeight="1" x14ac:dyDescent="0.25">
      <c r="A55" s="90">
        <v>49</v>
      </c>
      <c r="B55" s="206" t="str">
        <f>VLOOKUP(A55,'1.1.Atributos MAE'!$A$6:$D$65,4,0)</f>
        <v>(49) AE de la entidad y hoja de ruta se encuentra articulada con las arquitecturas de la entidades adscritas, del sector o territorio  que lidera.</v>
      </c>
      <c r="C55" s="301">
        <v>1</v>
      </c>
      <c r="D55" s="203"/>
      <c r="E55" s="202"/>
    </row>
    <row r="56" spans="1:5" ht="99.95" customHeight="1" x14ac:dyDescent="0.25">
      <c r="A56" s="90">
        <v>50</v>
      </c>
      <c r="B56" s="206" t="str">
        <f>VLOOKUP(A56,'1.1.Atributos MAE'!$A$6:$D$65,4,0)</f>
        <v>(50) Todos los ejercicios de AE existen y estan totalmente integrados</v>
      </c>
      <c r="C56" s="301">
        <v>1</v>
      </c>
      <c r="D56" s="203"/>
      <c r="E56" s="202"/>
    </row>
    <row r="57" spans="1:5" ht="99.95" customHeight="1" x14ac:dyDescent="0.25">
      <c r="A57" s="90">
        <v>51</v>
      </c>
      <c r="B57" s="206" t="str">
        <f>VLOOKUP(A57,'1.1.Atributos MAE'!$A$6:$D$65,4,0)</f>
        <v>(51) Existe alineación con las arquitecturas de la Entidades subordinadas . Aplica en el caso donde la entidad depende de otra para cumplir su misión.</v>
      </c>
      <c r="C57" s="301">
        <v>1</v>
      </c>
      <c r="D57" s="203"/>
      <c r="E57" s="202"/>
    </row>
    <row r="58" spans="1:5" ht="99.95" customHeight="1" x14ac:dyDescent="0.25">
      <c r="A58" s="90">
        <v>52</v>
      </c>
      <c r="B58" s="206" t="str">
        <f>VLOOKUP(A58,'1.1.Atributos MAE'!$A$6:$D$65,4,0)</f>
        <v>(52) La gestión de procesos y productos de AE son objeto de auditorias de control interno y externas a la entidad.</v>
      </c>
      <c r="C58" s="301">
        <v>1</v>
      </c>
      <c r="D58" s="203"/>
      <c r="E58" s="202"/>
    </row>
    <row r="59" spans="1:5" ht="99.95" customHeight="1" x14ac:dyDescent="0.25">
      <c r="A59" s="90">
        <v>53</v>
      </c>
      <c r="B59" s="206" t="str">
        <f>VLOOKUP(A59,'1.1.Atributos MAE'!$A$6:$D$65,4,0)</f>
        <v>(53) Las decisiones tomadas en la AE son utilizadas por la alta dirección de la entidad para sean insumo en el direccionamiento estratégico y planeación institucional.</v>
      </c>
      <c r="C59" s="301">
        <v>1</v>
      </c>
      <c r="D59" s="203"/>
      <c r="E59" s="202"/>
    </row>
    <row r="60" spans="1:5" ht="99.95" customHeight="1" x14ac:dyDescent="0.25">
      <c r="A60" s="90">
        <v>54</v>
      </c>
      <c r="B60" s="206" t="str">
        <f>VLOOKUP(A60,'1.1.Atributos MAE'!$A$6:$D$65,4,0)</f>
        <v>(54) Las competencias de capital humano de AE se encuentran en continua mejora</v>
      </c>
      <c r="C60" s="301">
        <v>1</v>
      </c>
      <c r="D60" s="203"/>
      <c r="E60" s="202"/>
    </row>
    <row r="61" spans="1:5" ht="99.95" customHeight="1" x14ac:dyDescent="0.25">
      <c r="A61" s="90">
        <v>55</v>
      </c>
      <c r="B61" s="206" t="str">
        <f>VLOOKUP(A61,'1.1.Atributos MAE'!$A$6:$D$65,4,0)</f>
        <v xml:space="preserve">(55) Herramientas y metodologias de AE son mejoradas continuamente </v>
      </c>
      <c r="C61" s="301">
        <v>1</v>
      </c>
      <c r="D61" s="203"/>
      <c r="E61" s="202"/>
    </row>
    <row r="62" spans="1:5" ht="99.95" customHeight="1" x14ac:dyDescent="0.25">
      <c r="A62" s="90">
        <v>56</v>
      </c>
      <c r="B62" s="206" t="str">
        <f>VLOOKUP(A62,'1.1.Atributos MAE'!$A$6:$D$65,4,0)</f>
        <v>(56) La gestión de procesos de AE son mejoradas continuamente y reflejan los resultados de las evaluaciones y auditorias internas y externas realizadas.</v>
      </c>
      <c r="C62" s="301">
        <v>1</v>
      </c>
      <c r="D62" s="203"/>
      <c r="E62" s="202"/>
    </row>
    <row r="63" spans="1:5" ht="99.95" customHeight="1" x14ac:dyDescent="0.25">
      <c r="A63" s="90">
        <v>57</v>
      </c>
      <c r="B63" s="206" t="str">
        <f>VLOOKUP(A63,'1.1.Atributos MAE'!$A$6:$D$65,4,0)</f>
        <v>(57) Productos de AE se encuentran en constante mejora y actualización</v>
      </c>
      <c r="C63" s="301">
        <v>1</v>
      </c>
      <c r="D63" s="203"/>
      <c r="E63" s="202"/>
    </row>
    <row r="64" spans="1:5" ht="99.95" customHeight="1" x14ac:dyDescent="0.25">
      <c r="A64" s="90">
        <v>58</v>
      </c>
      <c r="B64" s="206" t="str">
        <f>VLOOKUP(A64,'1.1.Atributos MAE'!$A$6:$D$65,4,0)</f>
        <v>(58) Los metodos de medición de resultados y calidad de AE son mejorados continuamente</v>
      </c>
      <c r="C64" s="301">
        <v>1</v>
      </c>
      <c r="D64" s="203"/>
      <c r="E64" s="202"/>
    </row>
    <row r="65" spans="1:5" ht="99.95" customHeight="1" thickBot="1" x14ac:dyDescent="0.3">
      <c r="A65" s="90">
        <v>59</v>
      </c>
      <c r="B65" s="206" t="str">
        <f>VLOOKUP(A65,'1.1.Atributos MAE'!$A$6:$D$65,4,0)</f>
        <v>(59) Los esfuerzos de mejora continua de la AE reflejan los resultados de las evaluaciones externas.</v>
      </c>
      <c r="C65" s="301">
        <v>1</v>
      </c>
      <c r="D65" s="205"/>
      <c r="E65" s="204"/>
    </row>
  </sheetData>
  <sheetProtection algorithmName="SHA-512" hashValue="Xqh8oA9K60/LmRGKNxvFRiJGfD08/2eMQUJiQCj2gwdiuvb+rlwFF3RlUsxQFhVio793ZWLYAV/CcjkGSHrSUg==" saltValue="k3K8sXjJgzbXg6Lzz8z2xA==" spinCount="100000" autoFilter="0" pivotTables="0"/>
  <mergeCells count="2">
    <mergeCell ref="D4:E4"/>
    <mergeCell ref="A2:E2"/>
  </mergeCells>
  <dataValidations count="1">
    <dataValidation type="list" allowBlank="1" showInputMessage="1" showErrorMessage="1" sqref="C6:C65" xr:uid="{07807404-9897-7D47-8BA7-16E157284697}">
      <mc:AlternateContent xmlns:x12ac="http://schemas.microsoft.com/office/spreadsheetml/2011/1/ac" xmlns:mc="http://schemas.openxmlformats.org/markup-compatibility/2006">
        <mc:Choice Requires="x12ac">
          <x12ac:list>0,"0,5",1</x12ac:list>
        </mc:Choice>
        <mc:Fallback>
          <formula1>"0,0,5,1"</formula1>
        </mc:Fallback>
      </mc:AlternateContent>
    </dataValidation>
  </dataValidations>
  <hyperlinks>
    <hyperlink ref="A1" location="Inicio!A1" display="Inicio" xr:uid="{B68CA415-DDF6-8142-866F-1AEA63E25C44}"/>
  </hyperlinks>
  <pageMargins left="0.7" right="0.7" top="0.75" bottom="0.75" header="0.3" footer="0.3"/>
  <pageSetup orientation="portrait" horizontalDpi="0" verticalDpi="0"/>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985C9F9847FC04DA85D23FFE6651110" ma:contentTypeVersion="13" ma:contentTypeDescription="Crear nuevo documento." ma:contentTypeScope="" ma:versionID="0c4c02a442e0ed0e5a6de54ff8e0c5d0">
  <xsd:schema xmlns:xsd="http://www.w3.org/2001/XMLSchema" xmlns:xs="http://www.w3.org/2001/XMLSchema" xmlns:p="http://schemas.microsoft.com/office/2006/metadata/properties" xmlns:ns2="b215d373-4ab1-4c9a-82d3-9624ee888acd" xmlns:ns3="bc22724a-ad80-4078-a2e7-0941ad5e9155" targetNamespace="http://schemas.microsoft.com/office/2006/metadata/properties" ma:root="true" ma:fieldsID="3ff9df5a6504bbe52d12ed0ecb094292" ns2:_="" ns3:_="">
    <xsd:import namespace="b215d373-4ab1-4c9a-82d3-9624ee888acd"/>
    <xsd:import namespace="bc22724a-ad80-4078-a2e7-0941ad5e915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15d373-4ab1-4c9a-82d3-9624ee888acd"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c22724a-ad80-4078-a2e7-0941ad5e915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3CE4B2C-1903-46B1-BF25-54099FF6F5EA}">
  <ds:schemaRefs>
    <ds:schemaRef ds:uri="http://schemas.microsoft.com/sharepoint/v3/contenttype/forms"/>
  </ds:schemaRefs>
</ds:datastoreItem>
</file>

<file path=customXml/itemProps2.xml><?xml version="1.0" encoding="utf-8"?>
<ds:datastoreItem xmlns:ds="http://schemas.openxmlformats.org/officeDocument/2006/customXml" ds:itemID="{9CED5E36-3C69-44BC-AFFC-C3FA44F9C4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15d373-4ab1-4c9a-82d3-9624ee888acd"/>
    <ds:schemaRef ds:uri="bc22724a-ad80-4078-a2e7-0941ad5e91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89C37F4-303B-42A8-B7B5-6171717F878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43</vt:i4>
      </vt:variant>
    </vt:vector>
  </HeadingPairs>
  <TitlesOfParts>
    <vt:vector size="58" baseType="lpstr">
      <vt:lpstr>Inicio</vt:lpstr>
      <vt:lpstr>Modelo de Madurez</vt:lpstr>
      <vt:lpstr>Instrucciones MAE</vt:lpstr>
      <vt:lpstr>Instrucciones MGGTI</vt:lpstr>
      <vt:lpstr>Instrucciones MGPTI</vt:lpstr>
      <vt:lpstr>0.MRAE</vt:lpstr>
      <vt:lpstr>1.MAE</vt:lpstr>
      <vt:lpstr>1.1.Atributos MAE</vt:lpstr>
      <vt:lpstr>1.2.Evaluación MAE</vt:lpstr>
      <vt:lpstr>2.MGGTI</vt:lpstr>
      <vt:lpstr>2.1.Atributos MGGTI</vt:lpstr>
      <vt:lpstr>2.2.Evaluación MGGTI</vt:lpstr>
      <vt:lpstr>3.MGPTI</vt:lpstr>
      <vt:lpstr>3.1.Atributos MGPTI</vt:lpstr>
      <vt:lpstr>3.2.Evaluación MGPTI</vt:lpstr>
      <vt:lpstr>'1.MAE'!Área_de_impresión</vt:lpstr>
      <vt:lpstr>'Instrucciones MAE'!Área_de_impresión</vt:lpstr>
      <vt:lpstr>'Instrucciones MGGTI'!Área_de_impresión</vt:lpstr>
      <vt:lpstr>'Instrucciones MGPTI'!Área_de_impresión</vt:lpstr>
      <vt:lpstr>MGPTI_CE_Capacidad</vt:lpstr>
      <vt:lpstr>MGPTI_CE_Enfoque</vt:lpstr>
      <vt:lpstr>MGPTI_CE_Motivadores</vt:lpstr>
      <vt:lpstr>MGPTI_CI_Cierre</vt:lpstr>
      <vt:lpstr>MGPTI_CI_Recursos</vt:lpstr>
      <vt:lpstr>MGPTI_CI_Resultados</vt:lpstr>
      <vt:lpstr>MGPTI_EJ_Calidad</vt:lpstr>
      <vt:lpstr>MGPTI_EJ_Entrega</vt:lpstr>
      <vt:lpstr>MGPTI_EJ_Interesados</vt:lpstr>
      <vt:lpstr>MGPTI_EJ_Recursos</vt:lpstr>
      <vt:lpstr>MGPTI_EJ_Riesgos</vt:lpstr>
      <vt:lpstr>MGPTI_PL_Alcance</vt:lpstr>
      <vt:lpstr>MGPTI_PL_Calidad</vt:lpstr>
      <vt:lpstr>MGPTI_PL_Interesados</vt:lpstr>
      <vt:lpstr>MGPTI_PL_Recursos</vt:lpstr>
      <vt:lpstr>MGPTI_PL_Riesgos</vt:lpstr>
      <vt:lpstr>PR_MAE</vt:lpstr>
      <vt:lpstr>PR_MAE_CAPACIDAD</vt:lpstr>
      <vt:lpstr>PR_MAE_DEFINICION</vt:lpstr>
      <vt:lpstr>PR_MAE_GESTION</vt:lpstr>
      <vt:lpstr>PR_MAE_ORGANIZACIONAL</vt:lpstr>
      <vt:lpstr>PR_MGGTI</vt:lpstr>
      <vt:lpstr>'1.MAE'!PR_MGGTI_ESTRATEGIA</vt:lpstr>
      <vt:lpstr>PR_MGGTI_ESTRATEGIA</vt:lpstr>
      <vt:lpstr>PR_MGGTI_GOBIERNO</vt:lpstr>
      <vt:lpstr>PR_MGGTI_INFORMACION</vt:lpstr>
      <vt:lpstr>PR_MGGTI_SISTEMAS</vt:lpstr>
      <vt:lpstr>PR_MGGTI_TECNOLOGIA</vt:lpstr>
      <vt:lpstr>PR_MGGTI_UYATI</vt:lpstr>
      <vt:lpstr>'1.MAE'!PR_MGPTI</vt:lpstr>
      <vt:lpstr>PR_MGPTI</vt:lpstr>
      <vt:lpstr>'1.MAE'!PR_MGPTI_CIERRE</vt:lpstr>
      <vt:lpstr>PR_MGPTI_CIERRE</vt:lpstr>
      <vt:lpstr>'1.MAE'!PR_MGPTI_CONTEXTO</vt:lpstr>
      <vt:lpstr>PR_MGPTI_CONTEXTO</vt:lpstr>
      <vt:lpstr>'1.MAE'!PR_MGPTI_EJECUCION</vt:lpstr>
      <vt:lpstr>PR_MGPTI_EJECUCION</vt:lpstr>
      <vt:lpstr>'1.MAE'!PR_MGPTI_PLANEACION</vt:lpstr>
      <vt:lpstr>PR_MGPTI_PLANEACION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Parra</dc:creator>
  <cp:keywords/>
  <dc:description/>
  <cp:lastModifiedBy>Jairo Alberto Riascos Muñoz</cp:lastModifiedBy>
  <cp:revision/>
  <dcterms:created xsi:type="dcterms:W3CDTF">2021-11-23T16:31:23Z</dcterms:created>
  <dcterms:modified xsi:type="dcterms:W3CDTF">2023-11-03T20:46:04Z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0x0101002985C9F9847FC04DA85D23FFE6651110</vt:lpwstr>
  </property>
</Properties>
</file>