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 codeName="{74837BA0-65D6-932C-5D65-3B800EBDC722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arizag\OneDrive - MINTIC\1. Obligaciones de Hacer\Consultoria Metodología OH\1. Ejecución\Entregable No 3\V5_para Publicar Borrador\RV__Modelo_financiero_OH_con_ajustes_y_otros_files para Juliana\"/>
    </mc:Choice>
  </mc:AlternateContent>
  <xr:revisionPtr revIDLastSave="2" documentId="13_ncr:1_{434D894E-3A84-4D66-8869-B025E838D451}" xr6:coauthVersionLast="41" xr6:coauthVersionMax="45" xr10:uidLastSave="{CC7E29D7-695F-4F52-9444-828FC9C5BA23}"/>
  <bookViews>
    <workbookView xWindow="-120" yWindow="-120" windowWidth="20730" windowHeight="11160" xr2:uid="{B221DB69-95E1-5040-896E-79508FBBD512}"/>
  </bookViews>
  <sheets>
    <sheet name="Parametros tecnológicos" sheetId="9" r:id="rId1"/>
    <sheet name="Espectro MW" sheetId="11" r:id="rId2"/>
    <sheet name="Modelo" sheetId="2" r:id="rId3"/>
    <sheet name="Detalle" sheetId="1" r:id="rId4"/>
    <sheet name="Resultados" sheetId="5" r:id="rId5"/>
    <sheet name="Tablas Espectro MW" sheetId="10" r:id="rId6"/>
    <sheet name="Datos" sheetId="3" state="hidden" r:id="rId7"/>
  </sheets>
  <externalReferences>
    <externalReference r:id="rId8"/>
  </externalReferences>
  <definedNames>
    <definedName name="_xlnm._FilterDatabase" localSheetId="3" hidden="1">Detalle!$A$1:$Q$979</definedName>
    <definedName name="Altura">'Parametros tecnológicos'!$D$7</definedName>
    <definedName name="Cantidad_postes">'Parametros tecnológicos'!$D$30</definedName>
    <definedName name="CapacidadRadioenlace">'Parametros tecnológicos'!$D$33</definedName>
    <definedName name="ClaseTorre">'Parametros tecnológicos'!$D$8</definedName>
    <definedName name="ClaseTorreRango">Detalle!$M$2:$M$979</definedName>
    <definedName name="ClaseValor">Detalle!$F$2:$F$979</definedName>
    <definedName name="Conceptos">Detalle!$C$2:$C$979</definedName>
    <definedName name="Costo_W">'Parametros tecnológicos'!$D$35</definedName>
    <definedName name="Detalle">Detalle!$D$2:$D$979</definedName>
    <definedName name="DiametroAntenaMts">'Parametros tecnológicos'!$D$22</definedName>
    <definedName name="DistanciaEnergiaSTD">'Parametros tecnológicos'!$F$12</definedName>
    <definedName name="DistanciaRedEnergia">'Parametros tecnológicos'!$D$12</definedName>
    <definedName name="EnlaceTransmisionMw">'Parametros tecnológicos'!$D$22</definedName>
    <definedName name="EventosMmto">'Parametros tecnológicos'!$D$10</definedName>
    <definedName name="EventosMmtoEquipos">'Parametros tecnológicos'!$D$20</definedName>
    <definedName name="EventosMmtoMT">'Parametros tecnológicos'!$D$15</definedName>
    <definedName name="Factor_Potencia_Diseno">'Parametros tecnológicos'!$D$36</definedName>
    <definedName name="FTTH_Rango">Detalle!$O$2:$O$979</definedName>
    <definedName name="InicioFuncion">Modelo!$B$8</definedName>
    <definedName name="InicioObra">Modelo!$B$7</definedName>
    <definedName name="IPCAcumuladoAnual">Modelo!$E$3:$O$5</definedName>
    <definedName name="KW_Energia">Detalle!$L$2:$L$979</definedName>
    <definedName name="KW_EnergiaValor">'Parametros tecnológicos'!$D$13</definedName>
    <definedName name="Longitud_BackHaul">'Parametros tecnológicos'!$D$29</definedName>
    <definedName name="LongitudAcometida">'Parametros tecnológicos'!$D$32</definedName>
    <definedName name="LTEBHSatelital_5G">'Parametros tecnológicos'!$D$27</definedName>
    <definedName name="MatIPC">'[1]Parámetros Generales'!$B$33:$H$35</definedName>
    <definedName name="MesesReconocimiento">Modelo!$B$9</definedName>
    <definedName name="MmtoGarantia1">'Parametros tecnológicos'!$D$9</definedName>
    <definedName name="MmtoGarantia2">'Parametros tecnológicos'!$D$14</definedName>
    <definedName name="MmtoGarantia3">'Parametros tecnológicos'!$D$19</definedName>
    <definedName name="MWEquiposHTSB">'Parametros tecnológicos'!$D$23</definedName>
    <definedName name="PlantaElectrica">'Parametros tecnológicos'!$D$16</definedName>
    <definedName name="PorcentajeImprevistos">Modelo!$B$6</definedName>
    <definedName name="Potencia">'Parametros tecnológicos'!$D$34</definedName>
    <definedName name="RangoSectorEnodeb">Detalle!$N$2:$N$979</definedName>
    <definedName name="Relacion">Detalle!$J$2:$J$979</definedName>
    <definedName name="RelacionContencion">'Parametros tecnológicos'!$D$21</definedName>
    <definedName name="SectorEnodeb">'Parametros tecnológicos'!$D$18</definedName>
    <definedName name="Splitters">'Parametros tecnológicos'!$D$31</definedName>
    <definedName name="Subscriptores">Modelo!$B$12</definedName>
    <definedName name="SubscriptoresSugeridos">Modelo!$B$13</definedName>
    <definedName name="Terreno_Energia">Detalle!$K$2:$K$979</definedName>
    <definedName name="Tipo">Detalle!$E$2:$E$979</definedName>
    <definedName name="Tipo_Terreno">'Parametros tecnológicos'!$D$11</definedName>
    <definedName name="TipoEspecifico">'Parametros tecnológicos'!$C$5</definedName>
    <definedName name="Tipologia">Detalle!$A$2:$A$979</definedName>
    <definedName name="Tipologia_Campo">'Parametros tecnológicos'!$C$4</definedName>
    <definedName name="TipoRed">'Parametros tecnológicos'!$C$6</definedName>
    <definedName name="TmcBw">'Parametros tecnológicos'!$D$17</definedName>
    <definedName name="TRM">Modelo!$B$4</definedName>
    <definedName name="ValocidadPromedioDL">'Parametros tecnológicos'!$F$17</definedName>
    <definedName name="ValoresMercado">Detalle!$P$2:$P$979</definedName>
    <definedName name="Velocidad">'Parametros tecnológicos'!$F$24</definedName>
    <definedName name="Velocidad_Capacidad">'Parametros tecnológicos'!$D$24</definedName>
    <definedName name="VelocidadPromedioDL">'Parametros tecnológicos'!$F$17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C6" i="11" l="1"/>
  <c r="C35" i="2" l="1"/>
  <c r="C8" i="11" l="1"/>
  <c r="C31" i="2"/>
  <c r="C30" i="2"/>
  <c r="C29" i="2"/>
  <c r="C28" i="2"/>
  <c r="C27" i="2"/>
  <c r="D27" i="9"/>
  <c r="D25" i="9"/>
  <c r="C7" i="11" l="1"/>
  <c r="C9" i="11" s="1"/>
  <c r="H960" i="1" l="1"/>
  <c r="R65" i="2"/>
  <c r="Q65" i="2"/>
  <c r="P65" i="2"/>
  <c r="O65" i="2"/>
  <c r="N65" i="2"/>
  <c r="M65" i="2"/>
  <c r="L65" i="2"/>
  <c r="K65" i="2"/>
  <c r="J65" i="2"/>
  <c r="I65" i="2"/>
  <c r="H65" i="2"/>
  <c r="R64" i="2"/>
  <c r="Q64" i="2"/>
  <c r="P64" i="2"/>
  <c r="O64" i="2"/>
  <c r="N64" i="2"/>
  <c r="M64" i="2"/>
  <c r="L64" i="2"/>
  <c r="K64" i="2"/>
  <c r="J64" i="2"/>
  <c r="I64" i="2"/>
  <c r="H64" i="2"/>
  <c r="R63" i="2"/>
  <c r="Q63" i="2"/>
  <c r="P63" i="2"/>
  <c r="O63" i="2"/>
  <c r="N63" i="2"/>
  <c r="M63" i="2"/>
  <c r="L63" i="2"/>
  <c r="K63" i="2"/>
  <c r="J63" i="2"/>
  <c r="I63" i="2"/>
  <c r="H63" i="2"/>
  <c r="R62" i="2"/>
  <c r="Q62" i="2"/>
  <c r="P62" i="2"/>
  <c r="O62" i="2"/>
  <c r="N62" i="2"/>
  <c r="M62" i="2"/>
  <c r="L62" i="2"/>
  <c r="K62" i="2"/>
  <c r="J62" i="2"/>
  <c r="I62" i="2"/>
  <c r="H62" i="2"/>
  <c r="G65" i="2"/>
  <c r="G64" i="2"/>
  <c r="G63" i="2"/>
  <c r="G62" i="2"/>
  <c r="R49" i="2"/>
  <c r="Q49" i="2"/>
  <c r="P49" i="2"/>
  <c r="O49" i="2"/>
  <c r="N49" i="2"/>
  <c r="M49" i="2"/>
  <c r="L49" i="2"/>
  <c r="K49" i="2"/>
  <c r="J49" i="2"/>
  <c r="I49" i="2"/>
  <c r="H49" i="2"/>
  <c r="R48" i="2"/>
  <c r="Q48" i="2"/>
  <c r="P48" i="2"/>
  <c r="O48" i="2"/>
  <c r="N48" i="2"/>
  <c r="M48" i="2"/>
  <c r="L48" i="2"/>
  <c r="K48" i="2"/>
  <c r="J48" i="2"/>
  <c r="I48" i="2"/>
  <c r="H48" i="2"/>
  <c r="R47" i="2"/>
  <c r="Q47" i="2"/>
  <c r="P47" i="2"/>
  <c r="O47" i="2"/>
  <c r="N47" i="2"/>
  <c r="M47" i="2"/>
  <c r="L47" i="2"/>
  <c r="K47" i="2"/>
  <c r="J47" i="2"/>
  <c r="I47" i="2"/>
  <c r="H47" i="2"/>
  <c r="G49" i="2"/>
  <c r="G48" i="2"/>
  <c r="G47" i="2"/>
  <c r="E28" i="2"/>
  <c r="E27" i="2"/>
  <c r="R35" i="2"/>
  <c r="Q35" i="2"/>
  <c r="P35" i="2"/>
  <c r="O35" i="2"/>
  <c r="N35" i="2"/>
  <c r="M35" i="2"/>
  <c r="L35" i="2"/>
  <c r="K35" i="2"/>
  <c r="J35" i="2"/>
  <c r="I35" i="2"/>
  <c r="H35" i="2"/>
  <c r="R34" i="2"/>
  <c r="Q34" i="2"/>
  <c r="P34" i="2"/>
  <c r="O34" i="2"/>
  <c r="N34" i="2"/>
  <c r="M34" i="2"/>
  <c r="L34" i="2"/>
  <c r="K34" i="2"/>
  <c r="J34" i="2"/>
  <c r="I34" i="2"/>
  <c r="H34" i="2"/>
  <c r="R33" i="2"/>
  <c r="Q33" i="2"/>
  <c r="P33" i="2"/>
  <c r="O33" i="2"/>
  <c r="N33" i="2"/>
  <c r="M33" i="2"/>
  <c r="L33" i="2"/>
  <c r="K33" i="2"/>
  <c r="J33" i="2"/>
  <c r="I33" i="2"/>
  <c r="H33" i="2"/>
  <c r="R32" i="2"/>
  <c r="Q32" i="2"/>
  <c r="P32" i="2"/>
  <c r="O32" i="2"/>
  <c r="N32" i="2"/>
  <c r="M32" i="2"/>
  <c r="L32" i="2"/>
  <c r="K32" i="2"/>
  <c r="J32" i="2"/>
  <c r="I32" i="2"/>
  <c r="H32" i="2"/>
  <c r="R31" i="2"/>
  <c r="Q31" i="2"/>
  <c r="P31" i="2"/>
  <c r="O31" i="2"/>
  <c r="N31" i="2"/>
  <c r="M31" i="2"/>
  <c r="L31" i="2"/>
  <c r="K31" i="2"/>
  <c r="J31" i="2"/>
  <c r="I31" i="2"/>
  <c r="H31" i="2"/>
  <c r="G35" i="2"/>
  <c r="G34" i="2"/>
  <c r="G32" i="2"/>
  <c r="G31" i="2"/>
  <c r="G33" i="2"/>
  <c r="DU27" i="2" l="1"/>
  <c r="DQ27" i="2"/>
  <c r="DM27" i="2"/>
  <c r="DI27" i="2"/>
  <c r="DE27" i="2"/>
  <c r="DA27" i="2"/>
  <c r="CW27" i="2"/>
  <c r="CS27" i="2"/>
  <c r="CO27" i="2"/>
  <c r="CK27" i="2"/>
  <c r="CG27" i="2"/>
  <c r="CC27" i="2"/>
  <c r="BY27" i="2"/>
  <c r="BU27" i="2"/>
  <c r="BQ27" i="2"/>
  <c r="BM27" i="2"/>
  <c r="BI27" i="2"/>
  <c r="BE27" i="2"/>
  <c r="BA27" i="2"/>
  <c r="AW27" i="2"/>
  <c r="AS27" i="2"/>
  <c r="AO27" i="2"/>
  <c r="AK27" i="2"/>
  <c r="AG27" i="2"/>
  <c r="AC27" i="2"/>
  <c r="Y27" i="2"/>
  <c r="U27" i="2"/>
  <c r="Q27" i="2"/>
  <c r="M27" i="2"/>
  <c r="I27" i="2"/>
  <c r="H27" i="2"/>
  <c r="N27" i="2"/>
  <c r="DT27" i="2"/>
  <c r="DP27" i="2"/>
  <c r="DL27" i="2"/>
  <c r="DH27" i="2"/>
  <c r="DD27" i="2"/>
  <c r="CZ27" i="2"/>
  <c r="CV27" i="2"/>
  <c r="CR27" i="2"/>
  <c r="CN27" i="2"/>
  <c r="CJ27" i="2"/>
  <c r="CF27" i="2"/>
  <c r="CB27" i="2"/>
  <c r="BX27" i="2"/>
  <c r="BT27" i="2"/>
  <c r="BP27" i="2"/>
  <c r="BL27" i="2"/>
  <c r="BH27" i="2"/>
  <c r="BD27" i="2"/>
  <c r="AZ27" i="2"/>
  <c r="AV27" i="2"/>
  <c r="AR27" i="2"/>
  <c r="AN27" i="2"/>
  <c r="AJ27" i="2"/>
  <c r="AF27" i="2"/>
  <c r="AB27" i="2"/>
  <c r="X27" i="2"/>
  <c r="T27" i="2"/>
  <c r="P27" i="2"/>
  <c r="L27" i="2"/>
  <c r="Z27" i="2"/>
  <c r="J27" i="2"/>
  <c r="DS27" i="2"/>
  <c r="DO27" i="2"/>
  <c r="DK27" i="2"/>
  <c r="DG27" i="2"/>
  <c r="DC27" i="2"/>
  <c r="CY27" i="2"/>
  <c r="CU27" i="2"/>
  <c r="CQ27" i="2"/>
  <c r="CM27" i="2"/>
  <c r="CI27" i="2"/>
  <c r="CE27" i="2"/>
  <c r="CA27" i="2"/>
  <c r="BW27" i="2"/>
  <c r="BS27" i="2"/>
  <c r="BO27" i="2"/>
  <c r="BK27" i="2"/>
  <c r="BG27" i="2"/>
  <c r="BC27" i="2"/>
  <c r="AY27" i="2"/>
  <c r="AU27" i="2"/>
  <c r="AQ27" i="2"/>
  <c r="AM27" i="2"/>
  <c r="AI27" i="2"/>
  <c r="AE27" i="2"/>
  <c r="AA27" i="2"/>
  <c r="W27" i="2"/>
  <c r="S27" i="2"/>
  <c r="O27" i="2"/>
  <c r="K27" i="2"/>
  <c r="G27" i="2"/>
  <c r="AH27" i="2"/>
  <c r="V27" i="2"/>
  <c r="DV27" i="2"/>
  <c r="DR27" i="2"/>
  <c r="DN27" i="2"/>
  <c r="DJ27" i="2"/>
  <c r="DF27" i="2"/>
  <c r="DB27" i="2"/>
  <c r="CX27" i="2"/>
  <c r="CT27" i="2"/>
  <c r="CP27" i="2"/>
  <c r="CL27" i="2"/>
  <c r="CH27" i="2"/>
  <c r="CD27" i="2"/>
  <c r="BZ27" i="2"/>
  <c r="BV27" i="2"/>
  <c r="BR27" i="2"/>
  <c r="BN27" i="2"/>
  <c r="BJ27" i="2"/>
  <c r="BF27" i="2"/>
  <c r="BB27" i="2"/>
  <c r="AX27" i="2"/>
  <c r="AT27" i="2"/>
  <c r="AP27" i="2"/>
  <c r="AL27" i="2"/>
  <c r="AD27" i="2"/>
  <c r="R27" i="2"/>
  <c r="DV28" i="2"/>
  <c r="DR28" i="2"/>
  <c r="DN28" i="2"/>
  <c r="DJ28" i="2"/>
  <c r="DF28" i="2"/>
  <c r="DB28" i="2"/>
  <c r="CX28" i="2"/>
  <c r="CT28" i="2"/>
  <c r="CP28" i="2"/>
  <c r="CL28" i="2"/>
  <c r="CH28" i="2"/>
  <c r="CD28" i="2"/>
  <c r="BZ28" i="2"/>
  <c r="BV28" i="2"/>
  <c r="BR28" i="2"/>
  <c r="BN28" i="2"/>
  <c r="BJ28" i="2"/>
  <c r="BF28" i="2"/>
  <c r="BB28" i="2"/>
  <c r="AX28" i="2"/>
  <c r="AT28" i="2"/>
  <c r="AP28" i="2"/>
  <c r="AL28" i="2"/>
  <c r="AH28" i="2"/>
  <c r="AD28" i="2"/>
  <c r="DS28" i="2"/>
  <c r="DO28" i="2"/>
  <c r="DK28" i="2"/>
  <c r="DT28" i="2"/>
  <c r="DL28" i="2"/>
  <c r="DE28" i="2"/>
  <c r="CZ28" i="2"/>
  <c r="CU28" i="2"/>
  <c r="CO28" i="2"/>
  <c r="CJ28" i="2"/>
  <c r="CE28" i="2"/>
  <c r="BY28" i="2"/>
  <c r="BT28" i="2"/>
  <c r="BO28" i="2"/>
  <c r="BI28" i="2"/>
  <c r="BD28" i="2"/>
  <c r="AY28" i="2"/>
  <c r="AS28" i="2"/>
  <c r="AN28" i="2"/>
  <c r="AI28" i="2"/>
  <c r="AC28" i="2"/>
  <c r="Y28" i="2"/>
  <c r="U28" i="2"/>
  <c r="Q28" i="2"/>
  <c r="M28" i="2"/>
  <c r="I28" i="2"/>
  <c r="DQ28" i="2"/>
  <c r="DI28" i="2"/>
  <c r="DD28" i="2"/>
  <c r="CY28" i="2"/>
  <c r="CS28" i="2"/>
  <c r="CN28" i="2"/>
  <c r="CI28" i="2"/>
  <c r="CC28" i="2"/>
  <c r="BX28" i="2"/>
  <c r="BS28" i="2"/>
  <c r="BM28" i="2"/>
  <c r="BH28" i="2"/>
  <c r="BC28" i="2"/>
  <c r="AW28" i="2"/>
  <c r="AR28" i="2"/>
  <c r="AM28" i="2"/>
  <c r="AG28" i="2"/>
  <c r="AB28" i="2"/>
  <c r="X28" i="2"/>
  <c r="T28" i="2"/>
  <c r="P28" i="2"/>
  <c r="L28" i="2"/>
  <c r="H28" i="2"/>
  <c r="DP28" i="2"/>
  <c r="DH28" i="2"/>
  <c r="DC28" i="2"/>
  <c r="CW28" i="2"/>
  <c r="CR28" i="2"/>
  <c r="CM28" i="2"/>
  <c r="CG28" i="2"/>
  <c r="CB28" i="2"/>
  <c r="BW28" i="2"/>
  <c r="BQ28" i="2"/>
  <c r="BL28" i="2"/>
  <c r="BG28" i="2"/>
  <c r="BA28" i="2"/>
  <c r="AV28" i="2"/>
  <c r="AQ28" i="2"/>
  <c r="AK28" i="2"/>
  <c r="AF28" i="2"/>
  <c r="AA28" i="2"/>
  <c r="W28" i="2"/>
  <c r="S28" i="2"/>
  <c r="O28" i="2"/>
  <c r="K28" i="2"/>
  <c r="G28" i="2"/>
  <c r="DU28" i="2"/>
  <c r="DM28" i="2"/>
  <c r="DG28" i="2"/>
  <c r="DA28" i="2"/>
  <c r="CV28" i="2"/>
  <c r="CQ28" i="2"/>
  <c r="CK28" i="2"/>
  <c r="CF28" i="2"/>
  <c r="CA28" i="2"/>
  <c r="BU28" i="2"/>
  <c r="BP28" i="2"/>
  <c r="BK28" i="2"/>
  <c r="BE28" i="2"/>
  <c r="AZ28" i="2"/>
  <c r="AU28" i="2"/>
  <c r="AO28" i="2"/>
  <c r="AJ28" i="2"/>
  <c r="AE28" i="2"/>
  <c r="Z28" i="2"/>
  <c r="V28" i="2"/>
  <c r="R28" i="2"/>
  <c r="N28" i="2"/>
  <c r="J28" i="2"/>
  <c r="S918" i="1"/>
  <c r="S913" i="1"/>
  <c r="S910" i="1"/>
  <c r="DV55" i="2" l="1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G55" i="2"/>
  <c r="K19" i="2"/>
  <c r="J19" i="2"/>
  <c r="I19" i="2"/>
  <c r="H19" i="2"/>
  <c r="G19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E49" i="2" l="1"/>
  <c r="F49" i="2"/>
  <c r="F12" i="9" l="1"/>
  <c r="C34" i="9"/>
  <c r="T891" i="1" l="1"/>
  <c r="P960" i="1" l="1"/>
  <c r="H967" i="1" l="1"/>
  <c r="P967" i="1" s="1"/>
  <c r="B41" i="2" s="1"/>
  <c r="F41" i="2" s="1"/>
  <c r="B80" i="2"/>
  <c r="B79" i="2"/>
  <c r="E87" i="2" l="1"/>
  <c r="F87" i="2"/>
  <c r="P976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G87" i="2" l="1"/>
  <c r="E85" i="2"/>
  <c r="DV91" i="2"/>
  <c r="DU91" i="2"/>
  <c r="DT91" i="2"/>
  <c r="DS91" i="2"/>
  <c r="DR91" i="2"/>
  <c r="DQ91" i="2"/>
  <c r="DP91" i="2"/>
  <c r="DO91" i="2"/>
  <c r="DN91" i="2"/>
  <c r="DM91" i="2"/>
  <c r="DL91" i="2"/>
  <c r="DK91" i="2"/>
  <c r="DJ91" i="2"/>
  <c r="DI91" i="2"/>
  <c r="DH91" i="2"/>
  <c r="DG91" i="2"/>
  <c r="DF91" i="2"/>
  <c r="DE91" i="2"/>
  <c r="DD91" i="2"/>
  <c r="DC91" i="2"/>
  <c r="DB91" i="2"/>
  <c r="DA91" i="2"/>
  <c r="CZ91" i="2"/>
  <c r="CY91" i="2"/>
  <c r="CX91" i="2"/>
  <c r="CW91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DV90" i="2"/>
  <c r="DU90" i="2"/>
  <c r="DT90" i="2"/>
  <c r="DS90" i="2"/>
  <c r="DR90" i="2"/>
  <c r="DQ90" i="2"/>
  <c r="DP90" i="2"/>
  <c r="DO90" i="2"/>
  <c r="DN90" i="2"/>
  <c r="DM90" i="2"/>
  <c r="DL90" i="2"/>
  <c r="DK90" i="2"/>
  <c r="DJ90" i="2"/>
  <c r="DI90" i="2"/>
  <c r="DH90" i="2"/>
  <c r="DG90" i="2"/>
  <c r="DF90" i="2"/>
  <c r="DE90" i="2"/>
  <c r="DD90" i="2"/>
  <c r="DC90" i="2"/>
  <c r="DB90" i="2"/>
  <c r="DA90" i="2"/>
  <c r="CZ90" i="2"/>
  <c r="CY90" i="2"/>
  <c r="CX90" i="2"/>
  <c r="CW90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DV86" i="2"/>
  <c r="DU86" i="2"/>
  <c r="DT86" i="2"/>
  <c r="DS86" i="2"/>
  <c r="DR86" i="2"/>
  <c r="DQ86" i="2"/>
  <c r="DP86" i="2"/>
  <c r="DO86" i="2"/>
  <c r="DN86" i="2"/>
  <c r="DM86" i="2"/>
  <c r="DL86" i="2"/>
  <c r="DK86" i="2"/>
  <c r="DJ86" i="2"/>
  <c r="DI86" i="2"/>
  <c r="DH86" i="2"/>
  <c r="DG86" i="2"/>
  <c r="DF86" i="2"/>
  <c r="DE86" i="2"/>
  <c r="DD86" i="2"/>
  <c r="DC86" i="2"/>
  <c r="DB86" i="2"/>
  <c r="DA86" i="2"/>
  <c r="CZ86" i="2"/>
  <c r="CY86" i="2"/>
  <c r="CX86" i="2"/>
  <c r="CW86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DV85" i="2"/>
  <c r="DU85" i="2"/>
  <c r="DT85" i="2"/>
  <c r="DS85" i="2"/>
  <c r="DR85" i="2"/>
  <c r="DQ85" i="2"/>
  <c r="DP85" i="2"/>
  <c r="DO85" i="2"/>
  <c r="DN85" i="2"/>
  <c r="DM85" i="2"/>
  <c r="DL85" i="2"/>
  <c r="DK85" i="2"/>
  <c r="DJ85" i="2"/>
  <c r="DI85" i="2"/>
  <c r="DH85" i="2"/>
  <c r="DG85" i="2"/>
  <c r="DF85" i="2"/>
  <c r="DE85" i="2"/>
  <c r="DD85" i="2"/>
  <c r="DC85" i="2"/>
  <c r="DB85" i="2"/>
  <c r="DA85" i="2"/>
  <c r="CZ85" i="2"/>
  <c r="CY85" i="2"/>
  <c r="CX85" i="2"/>
  <c r="CW85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DV84" i="2"/>
  <c r="DU84" i="2"/>
  <c r="DT84" i="2"/>
  <c r="DS84" i="2"/>
  <c r="DR84" i="2"/>
  <c r="DQ84" i="2"/>
  <c r="DP84" i="2"/>
  <c r="DO84" i="2"/>
  <c r="DN84" i="2"/>
  <c r="DM84" i="2"/>
  <c r="DL84" i="2"/>
  <c r="DK84" i="2"/>
  <c r="DJ84" i="2"/>
  <c r="DI84" i="2"/>
  <c r="DH84" i="2"/>
  <c r="DG84" i="2"/>
  <c r="DF84" i="2"/>
  <c r="DE84" i="2"/>
  <c r="DD84" i="2"/>
  <c r="DC84" i="2"/>
  <c r="DB84" i="2"/>
  <c r="DA84" i="2"/>
  <c r="CZ84" i="2"/>
  <c r="CY84" i="2"/>
  <c r="CX84" i="2"/>
  <c r="CW84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DJ83" i="2"/>
  <c r="DI83" i="2"/>
  <c r="DH83" i="2"/>
  <c r="DG83" i="2"/>
  <c r="DF83" i="2"/>
  <c r="DE83" i="2"/>
  <c r="DD83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DV81" i="2"/>
  <c r="DU81" i="2"/>
  <c r="DT81" i="2"/>
  <c r="DS81" i="2"/>
  <c r="DR81" i="2"/>
  <c r="DQ81" i="2"/>
  <c r="DP81" i="2"/>
  <c r="DO81" i="2"/>
  <c r="DN81" i="2"/>
  <c r="DM81" i="2"/>
  <c r="DL81" i="2"/>
  <c r="DK81" i="2"/>
  <c r="DJ81" i="2"/>
  <c r="DI81" i="2"/>
  <c r="DH81" i="2"/>
  <c r="DG81" i="2"/>
  <c r="DF81" i="2"/>
  <c r="DE81" i="2"/>
  <c r="DD81" i="2"/>
  <c r="DC81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DV80" i="2"/>
  <c r="DU80" i="2"/>
  <c r="DT80" i="2"/>
  <c r="DS80" i="2"/>
  <c r="DR80" i="2"/>
  <c r="DQ80" i="2"/>
  <c r="DP80" i="2"/>
  <c r="DO80" i="2"/>
  <c r="DN80" i="2"/>
  <c r="DM80" i="2"/>
  <c r="DL80" i="2"/>
  <c r="DK80" i="2"/>
  <c r="DJ80" i="2"/>
  <c r="DI80" i="2"/>
  <c r="DH80" i="2"/>
  <c r="DG80" i="2"/>
  <c r="DF80" i="2"/>
  <c r="DE80" i="2"/>
  <c r="DD80" i="2"/>
  <c r="DC80" i="2"/>
  <c r="DB80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DV78" i="2"/>
  <c r="DU78" i="2"/>
  <c r="DT78" i="2"/>
  <c r="DS78" i="2"/>
  <c r="DR78" i="2"/>
  <c r="DQ78" i="2"/>
  <c r="DP78" i="2"/>
  <c r="DO78" i="2"/>
  <c r="DN78" i="2"/>
  <c r="DM78" i="2"/>
  <c r="DL78" i="2"/>
  <c r="DK78" i="2"/>
  <c r="DJ78" i="2"/>
  <c r="DI78" i="2"/>
  <c r="DH78" i="2"/>
  <c r="DG78" i="2"/>
  <c r="DF78" i="2"/>
  <c r="DE78" i="2"/>
  <c r="DD78" i="2"/>
  <c r="DC78" i="2"/>
  <c r="DB78" i="2"/>
  <c r="DA78" i="2"/>
  <c r="CZ78" i="2"/>
  <c r="CY78" i="2"/>
  <c r="CX78" i="2"/>
  <c r="CW78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DV52" i="2"/>
  <c r="DU52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DV50" i="2"/>
  <c r="DU50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P965" i="1" l="1"/>
  <c r="F17" i="9"/>
  <c r="C54" i="2" l="1"/>
  <c r="E75" i="2"/>
  <c r="G75" i="2" l="1"/>
  <c r="E32" i="2"/>
  <c r="B25" i="2" l="1"/>
  <c r="F25" i="2" s="1"/>
  <c r="B91" i="2"/>
  <c r="F91" i="2" s="1"/>
  <c r="B90" i="2"/>
  <c r="F90" i="2" s="1"/>
  <c r="C89" i="2"/>
  <c r="E91" i="2"/>
  <c r="E40" i="2"/>
  <c r="P964" i="1"/>
  <c r="P963" i="1"/>
  <c r="E90" i="2" l="1"/>
  <c r="F89" i="2"/>
  <c r="E89" i="2"/>
  <c r="AT89" i="2" s="1"/>
  <c r="F88" i="2"/>
  <c r="E88" i="2"/>
  <c r="X89" i="2" l="1"/>
  <c r="AN89" i="2"/>
  <c r="W89" i="2"/>
  <c r="Y89" i="2"/>
  <c r="H89" i="2"/>
  <c r="AO89" i="2"/>
  <c r="J89" i="2"/>
  <c r="AM89" i="2"/>
  <c r="I89" i="2"/>
  <c r="Z89" i="2"/>
  <c r="AP89" i="2"/>
  <c r="K89" i="2"/>
  <c r="AA89" i="2"/>
  <c r="AQ89" i="2"/>
  <c r="L89" i="2"/>
  <c r="AB89" i="2"/>
  <c r="AR89" i="2"/>
  <c r="M89" i="2"/>
  <c r="AC89" i="2"/>
  <c r="AS89" i="2"/>
  <c r="N89" i="2"/>
  <c r="AD89" i="2"/>
  <c r="DV89" i="2"/>
  <c r="DR89" i="2"/>
  <c r="DN89" i="2"/>
  <c r="DJ89" i="2"/>
  <c r="DF89" i="2"/>
  <c r="DB89" i="2"/>
  <c r="CX89" i="2"/>
  <c r="CT89" i="2"/>
  <c r="CP89" i="2"/>
  <c r="CL89" i="2"/>
  <c r="CH89" i="2"/>
  <c r="CD89" i="2"/>
  <c r="BZ89" i="2"/>
  <c r="BV89" i="2"/>
  <c r="BR89" i="2"/>
  <c r="BN89" i="2"/>
  <c r="BJ89" i="2"/>
  <c r="BF89" i="2"/>
  <c r="G89" i="2"/>
  <c r="DU89" i="2"/>
  <c r="DQ89" i="2"/>
  <c r="DM89" i="2"/>
  <c r="DI89" i="2"/>
  <c r="DE89" i="2"/>
  <c r="DA89" i="2"/>
  <c r="CW89" i="2"/>
  <c r="CS89" i="2"/>
  <c r="CO89" i="2"/>
  <c r="CK89" i="2"/>
  <c r="CG89" i="2"/>
  <c r="CC89" i="2"/>
  <c r="BY89" i="2"/>
  <c r="BU89" i="2"/>
  <c r="BQ89" i="2"/>
  <c r="BM89" i="2"/>
  <c r="BI89" i="2"/>
  <c r="BE89" i="2"/>
  <c r="DT89" i="2"/>
  <c r="DP89" i="2"/>
  <c r="DL89" i="2"/>
  <c r="DH89" i="2"/>
  <c r="DD89" i="2"/>
  <c r="CZ89" i="2"/>
  <c r="CV89" i="2"/>
  <c r="CR89" i="2"/>
  <c r="CN89" i="2"/>
  <c r="CJ89" i="2"/>
  <c r="CF89" i="2"/>
  <c r="CB89" i="2"/>
  <c r="BX89" i="2"/>
  <c r="BT89" i="2"/>
  <c r="BP89" i="2"/>
  <c r="BL89" i="2"/>
  <c r="BH89" i="2"/>
  <c r="BD89" i="2"/>
  <c r="DS89" i="2"/>
  <c r="DO89" i="2"/>
  <c r="DK89" i="2"/>
  <c r="DG89" i="2"/>
  <c r="DC89" i="2"/>
  <c r="CY89" i="2"/>
  <c r="CU89" i="2"/>
  <c r="CQ89" i="2"/>
  <c r="CM89" i="2"/>
  <c r="CI89" i="2"/>
  <c r="CE89" i="2"/>
  <c r="CA89" i="2"/>
  <c r="BW89" i="2"/>
  <c r="BS89" i="2"/>
  <c r="BO89" i="2"/>
  <c r="BK89" i="2"/>
  <c r="BG89" i="2"/>
  <c r="BC89" i="2"/>
  <c r="O89" i="2"/>
  <c r="AE89" i="2"/>
  <c r="AU89" i="2"/>
  <c r="P89" i="2"/>
  <c r="AF89" i="2"/>
  <c r="AV89" i="2"/>
  <c r="Q89" i="2"/>
  <c r="AG89" i="2"/>
  <c r="AW89" i="2"/>
  <c r="R89" i="2"/>
  <c r="AH89" i="2"/>
  <c r="AX89" i="2"/>
  <c r="S89" i="2"/>
  <c r="AI89" i="2"/>
  <c r="AY89" i="2"/>
  <c r="T89" i="2"/>
  <c r="AJ89" i="2"/>
  <c r="AZ89" i="2"/>
  <c r="U89" i="2"/>
  <c r="AK89" i="2"/>
  <c r="BA89" i="2"/>
  <c r="V89" i="2"/>
  <c r="AL89" i="2"/>
  <c r="BB89" i="2"/>
  <c r="F7" i="9"/>
  <c r="P962" i="1"/>
  <c r="C57" i="2" l="1"/>
  <c r="A17" i="2"/>
  <c r="A32" i="9" l="1"/>
  <c r="A31" i="9"/>
  <c r="A30" i="9"/>
  <c r="A29" i="9"/>
  <c r="A28" i="9"/>
  <c r="F24" i="9" l="1"/>
  <c r="B13" i="2" s="1"/>
  <c r="B12" i="2" l="1"/>
  <c r="P975" i="1" s="1"/>
  <c r="B85" i="2" s="1"/>
  <c r="P968" i="1"/>
  <c r="B78" i="2" s="1"/>
  <c r="P971" i="1"/>
  <c r="B81" i="2" s="1"/>
  <c r="I973" i="1"/>
  <c r="I972" i="1"/>
  <c r="P972" i="1" s="1"/>
  <c r="B82" i="2" s="1"/>
  <c r="I969" i="1"/>
  <c r="P969" i="1" s="1"/>
  <c r="P970" i="1"/>
  <c r="F80" i="2" s="1"/>
  <c r="P974" i="1" l="1"/>
  <c r="B84" i="2" s="1"/>
  <c r="F84" i="2" s="1"/>
  <c r="P973" i="1"/>
  <c r="B83" i="2" s="1"/>
  <c r="F83" i="2" s="1"/>
  <c r="P966" i="1"/>
  <c r="B40" i="2" s="1"/>
  <c r="F40" i="2" s="1"/>
  <c r="H978" i="1"/>
  <c r="P978" i="1" s="1"/>
  <c r="C87" i="2" s="1"/>
  <c r="P979" i="1"/>
  <c r="B86" i="2" s="1"/>
  <c r="F86" i="2" s="1"/>
  <c r="H977" i="1"/>
  <c r="P977" i="1" s="1"/>
  <c r="F81" i="2"/>
  <c r="F78" i="2"/>
  <c r="F79" i="2"/>
  <c r="F82" i="2"/>
  <c r="F85" i="2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T659" i="1"/>
  <c r="T371" i="1"/>
  <c r="S682" i="1" s="1"/>
  <c r="DS87" i="2" l="1"/>
  <c r="DC87" i="2"/>
  <c r="CM87" i="2"/>
  <c r="BW87" i="2"/>
  <c r="BG87" i="2"/>
  <c r="DN87" i="2"/>
  <c r="CX87" i="2"/>
  <c r="CH87" i="2"/>
  <c r="BR87" i="2"/>
  <c r="DI87" i="2"/>
  <c r="CS87" i="2"/>
  <c r="CC87" i="2"/>
  <c r="BM87" i="2"/>
  <c r="DP87" i="2"/>
  <c r="CZ87" i="2"/>
  <c r="CJ87" i="2"/>
  <c r="BT87" i="2"/>
  <c r="BD87" i="2"/>
  <c r="DO87" i="2"/>
  <c r="CY87" i="2"/>
  <c r="CI87" i="2"/>
  <c r="BS87" i="2"/>
  <c r="BC87" i="2"/>
  <c r="DJ87" i="2"/>
  <c r="CT87" i="2"/>
  <c r="CD87" i="2"/>
  <c r="BN87" i="2"/>
  <c r="DU87" i="2"/>
  <c r="DE87" i="2"/>
  <c r="CO87" i="2"/>
  <c r="BY87" i="2"/>
  <c r="BI87" i="2"/>
  <c r="DL87" i="2"/>
  <c r="CV87" i="2"/>
  <c r="CF87" i="2"/>
  <c r="BP87" i="2"/>
  <c r="DK87" i="2"/>
  <c r="CU87" i="2"/>
  <c r="CE87" i="2"/>
  <c r="BO87" i="2"/>
  <c r="DV87" i="2"/>
  <c r="DF87" i="2"/>
  <c r="CP87" i="2"/>
  <c r="BZ87" i="2"/>
  <c r="BJ87" i="2"/>
  <c r="DQ87" i="2"/>
  <c r="DA87" i="2"/>
  <c r="CK87" i="2"/>
  <c r="BU87" i="2"/>
  <c r="BE87" i="2"/>
  <c r="DH87" i="2"/>
  <c r="CR87" i="2"/>
  <c r="CB87" i="2"/>
  <c r="BL87" i="2"/>
  <c r="DG87" i="2"/>
  <c r="CQ87" i="2"/>
  <c r="CA87" i="2"/>
  <c r="BK87" i="2"/>
  <c r="DR87" i="2"/>
  <c r="DB87" i="2"/>
  <c r="CL87" i="2"/>
  <c r="BV87" i="2"/>
  <c r="BF87" i="2"/>
  <c r="DM87" i="2"/>
  <c r="CW87" i="2"/>
  <c r="CG87" i="2"/>
  <c r="BQ87" i="2"/>
  <c r="DT87" i="2"/>
  <c r="DD87" i="2"/>
  <c r="CN87" i="2"/>
  <c r="BX87" i="2"/>
  <c r="BH87" i="2"/>
  <c r="BB87" i="2"/>
  <c r="W87" i="2"/>
  <c r="Z87" i="2"/>
  <c r="AR87" i="2"/>
  <c r="N87" i="2"/>
  <c r="AE87" i="2"/>
  <c r="AV87" i="2"/>
  <c r="R87" i="2"/>
  <c r="H87" i="2"/>
  <c r="AP87" i="2"/>
  <c r="AI87" i="2"/>
  <c r="AZ87" i="2"/>
  <c r="V87" i="2"/>
  <c r="L87" i="2"/>
  <c r="AJ87" i="2"/>
  <c r="X87" i="2"/>
  <c r="K87" i="2"/>
  <c r="M87" i="2"/>
  <c r="AD87" i="2"/>
  <c r="AU87" i="2"/>
  <c r="Q87" i="2"/>
  <c r="AH87" i="2"/>
  <c r="AN87" i="2"/>
  <c r="AA87" i="2"/>
  <c r="AY87" i="2"/>
  <c r="U87" i="2"/>
  <c r="AL87" i="2"/>
  <c r="AS87" i="2"/>
  <c r="AF87" i="2"/>
  <c r="AM87" i="2"/>
  <c r="S87" i="2"/>
  <c r="I87" i="2"/>
  <c r="AQ87" i="2"/>
  <c r="AC87" i="2"/>
  <c r="AT87" i="2"/>
  <c r="P87" i="2"/>
  <c r="AG87" i="2"/>
  <c r="AX87" i="2"/>
  <c r="Y87" i="2"/>
  <c r="AB87" i="2"/>
  <c r="T87" i="2"/>
  <c r="AK87" i="2"/>
  <c r="AO87" i="2"/>
  <c r="O87" i="2"/>
  <c r="AW87" i="2"/>
  <c r="J87" i="2"/>
  <c r="BA87" i="2"/>
  <c r="S667" i="1"/>
  <c r="S671" i="1"/>
  <c r="S659" i="1"/>
  <c r="S675" i="1"/>
  <c r="S663" i="1"/>
  <c r="S679" i="1"/>
  <c r="S660" i="1"/>
  <c r="S664" i="1"/>
  <c r="S668" i="1"/>
  <c r="S672" i="1"/>
  <c r="S676" i="1"/>
  <c r="S680" i="1"/>
  <c r="S661" i="1"/>
  <c r="S665" i="1"/>
  <c r="S669" i="1"/>
  <c r="S673" i="1"/>
  <c r="S677" i="1"/>
  <c r="S681" i="1"/>
  <c r="S662" i="1"/>
  <c r="S666" i="1"/>
  <c r="S670" i="1"/>
  <c r="S674" i="1"/>
  <c r="S678" i="1"/>
  <c r="S372" i="1"/>
  <c r="S380" i="1"/>
  <c r="S392" i="1"/>
  <c r="S373" i="1"/>
  <c r="S377" i="1"/>
  <c r="S381" i="1"/>
  <c r="S385" i="1"/>
  <c r="S389" i="1"/>
  <c r="S393" i="1"/>
  <c r="S376" i="1"/>
  <c r="S384" i="1"/>
  <c r="S388" i="1"/>
  <c r="S374" i="1"/>
  <c r="S378" i="1"/>
  <c r="S382" i="1"/>
  <c r="S386" i="1"/>
  <c r="S390" i="1"/>
  <c r="S394" i="1"/>
  <c r="S371" i="1"/>
  <c r="S375" i="1"/>
  <c r="S379" i="1"/>
  <c r="S383" i="1"/>
  <c r="S387" i="1"/>
  <c r="S391" i="1"/>
  <c r="E86" i="2" l="1"/>
  <c r="E84" i="2"/>
  <c r="E83" i="2"/>
  <c r="E82" i="2"/>
  <c r="E81" i="2"/>
  <c r="E80" i="2"/>
  <c r="E79" i="2"/>
  <c r="E78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G57" i="2" s="1"/>
  <c r="E56" i="2"/>
  <c r="E54" i="2"/>
  <c r="E53" i="2"/>
  <c r="E52" i="2"/>
  <c r="E51" i="2"/>
  <c r="E50" i="2"/>
  <c r="E48" i="2"/>
  <c r="E47" i="2"/>
  <c r="E46" i="2"/>
  <c r="E45" i="2"/>
  <c r="E44" i="2"/>
  <c r="E43" i="2"/>
  <c r="E42" i="2"/>
  <c r="E39" i="2"/>
  <c r="E38" i="2"/>
  <c r="E37" i="2"/>
  <c r="E36" i="2"/>
  <c r="E35" i="2"/>
  <c r="E34" i="2"/>
  <c r="E33" i="2"/>
  <c r="E31" i="2"/>
  <c r="E30" i="2"/>
  <c r="E29" i="2"/>
  <c r="E25" i="2"/>
  <c r="E24" i="2"/>
  <c r="E23" i="2"/>
  <c r="E22" i="2"/>
  <c r="E21" i="2"/>
  <c r="E20" i="2"/>
  <c r="E19" i="2"/>
  <c r="DV30" i="2" l="1"/>
  <c r="DR30" i="2"/>
  <c r="DN30" i="2"/>
  <c r="DJ30" i="2"/>
  <c r="DF30" i="2"/>
  <c r="DB30" i="2"/>
  <c r="CX30" i="2"/>
  <c r="CT30" i="2"/>
  <c r="CP30" i="2"/>
  <c r="CL30" i="2"/>
  <c r="CH30" i="2"/>
  <c r="CD30" i="2"/>
  <c r="BZ30" i="2"/>
  <c r="BV30" i="2"/>
  <c r="BR30" i="2"/>
  <c r="BN30" i="2"/>
  <c r="BJ30" i="2"/>
  <c r="BF30" i="2"/>
  <c r="BB30" i="2"/>
  <c r="AX30" i="2"/>
  <c r="AT30" i="2"/>
  <c r="AP30" i="2"/>
  <c r="AL30" i="2"/>
  <c r="AH30" i="2"/>
  <c r="AD30" i="2"/>
  <c r="Z30" i="2"/>
  <c r="V30" i="2"/>
  <c r="R30" i="2"/>
  <c r="N30" i="2"/>
  <c r="J30" i="2"/>
  <c r="DU30" i="2"/>
  <c r="DQ30" i="2"/>
  <c r="DM30" i="2"/>
  <c r="DI30" i="2"/>
  <c r="DE30" i="2"/>
  <c r="DA30" i="2"/>
  <c r="CW30" i="2"/>
  <c r="CS30" i="2"/>
  <c r="CO30" i="2"/>
  <c r="CK30" i="2"/>
  <c r="CG30" i="2"/>
  <c r="CC30" i="2"/>
  <c r="BY30" i="2"/>
  <c r="BU30" i="2"/>
  <c r="BQ30" i="2"/>
  <c r="BM30" i="2"/>
  <c r="BI30" i="2"/>
  <c r="BE30" i="2"/>
  <c r="BA30" i="2"/>
  <c r="AW30" i="2"/>
  <c r="AS30" i="2"/>
  <c r="AO30" i="2"/>
  <c r="AK30" i="2"/>
  <c r="AG30" i="2"/>
  <c r="AC30" i="2"/>
  <c r="Y30" i="2"/>
  <c r="U30" i="2"/>
  <c r="Q30" i="2"/>
  <c r="M30" i="2"/>
  <c r="I30" i="2"/>
  <c r="DT30" i="2"/>
  <c r="DP30" i="2"/>
  <c r="DL30" i="2"/>
  <c r="DH30" i="2"/>
  <c r="DD30" i="2"/>
  <c r="CZ30" i="2"/>
  <c r="CV30" i="2"/>
  <c r="CR30" i="2"/>
  <c r="CN30" i="2"/>
  <c r="CJ30" i="2"/>
  <c r="CF30" i="2"/>
  <c r="CB30" i="2"/>
  <c r="BX30" i="2"/>
  <c r="BT30" i="2"/>
  <c r="BP30" i="2"/>
  <c r="BL30" i="2"/>
  <c r="BH30" i="2"/>
  <c r="BD30" i="2"/>
  <c r="AZ30" i="2"/>
  <c r="AV30" i="2"/>
  <c r="AR30" i="2"/>
  <c r="AN30" i="2"/>
  <c r="AJ30" i="2"/>
  <c r="AF30" i="2"/>
  <c r="AB30" i="2"/>
  <c r="X30" i="2"/>
  <c r="T30" i="2"/>
  <c r="P30" i="2"/>
  <c r="L30" i="2"/>
  <c r="H30" i="2"/>
  <c r="DS30" i="2"/>
  <c r="DO30" i="2"/>
  <c r="DK30" i="2"/>
  <c r="DG30" i="2"/>
  <c r="DC30" i="2"/>
  <c r="CY30" i="2"/>
  <c r="CU30" i="2"/>
  <c r="CQ30" i="2"/>
  <c r="CM30" i="2"/>
  <c r="CI30" i="2"/>
  <c r="CE30" i="2"/>
  <c r="CA30" i="2"/>
  <c r="BW30" i="2"/>
  <c r="BS30" i="2"/>
  <c r="BO30" i="2"/>
  <c r="BK30" i="2"/>
  <c r="BG30" i="2"/>
  <c r="BC30" i="2"/>
  <c r="AY30" i="2"/>
  <c r="AU30" i="2"/>
  <c r="AQ30" i="2"/>
  <c r="AM30" i="2"/>
  <c r="AI30" i="2"/>
  <c r="AE30" i="2"/>
  <c r="AA30" i="2"/>
  <c r="W30" i="2"/>
  <c r="S30" i="2"/>
  <c r="O30" i="2"/>
  <c r="K30" i="2"/>
  <c r="G30" i="2"/>
  <c r="DV29" i="2"/>
  <c r="DR29" i="2"/>
  <c r="DN29" i="2"/>
  <c r="DJ29" i="2"/>
  <c r="DF29" i="2"/>
  <c r="DB29" i="2"/>
  <c r="CX29" i="2"/>
  <c r="CT29" i="2"/>
  <c r="CP29" i="2"/>
  <c r="CL29" i="2"/>
  <c r="CH29" i="2"/>
  <c r="CD29" i="2"/>
  <c r="BZ29" i="2"/>
  <c r="BV29" i="2"/>
  <c r="BR29" i="2"/>
  <c r="BN29" i="2"/>
  <c r="BJ29" i="2"/>
  <c r="BF29" i="2"/>
  <c r="BB29" i="2"/>
  <c r="AX29" i="2"/>
  <c r="AT29" i="2"/>
  <c r="AP29" i="2"/>
  <c r="AL29" i="2"/>
  <c r="AH29" i="2"/>
  <c r="AD29" i="2"/>
  <c r="Z29" i="2"/>
  <c r="V29" i="2"/>
  <c r="R29" i="2"/>
  <c r="N29" i="2"/>
  <c r="J29" i="2"/>
  <c r="DU29" i="2"/>
  <c r="DQ29" i="2"/>
  <c r="DM29" i="2"/>
  <c r="DI29" i="2"/>
  <c r="DE29" i="2"/>
  <c r="DA29" i="2"/>
  <c r="CW29" i="2"/>
  <c r="CS29" i="2"/>
  <c r="CO29" i="2"/>
  <c r="CK29" i="2"/>
  <c r="CG29" i="2"/>
  <c r="CC29" i="2"/>
  <c r="BY29" i="2"/>
  <c r="BU29" i="2"/>
  <c r="BQ29" i="2"/>
  <c r="BM29" i="2"/>
  <c r="BI29" i="2"/>
  <c r="BE29" i="2"/>
  <c r="BA29" i="2"/>
  <c r="AW29" i="2"/>
  <c r="AS29" i="2"/>
  <c r="AO29" i="2"/>
  <c r="AK29" i="2"/>
  <c r="AG29" i="2"/>
  <c r="AC29" i="2"/>
  <c r="Y29" i="2"/>
  <c r="U29" i="2"/>
  <c r="Q29" i="2"/>
  <c r="DT29" i="2"/>
  <c r="DP29" i="2"/>
  <c r="DL29" i="2"/>
  <c r="DH29" i="2"/>
  <c r="DD29" i="2"/>
  <c r="DS29" i="2"/>
  <c r="DO29" i="2"/>
  <c r="DK29" i="2"/>
  <c r="DG29" i="2"/>
  <c r="DC29" i="2"/>
  <c r="CY29" i="2"/>
  <c r="CU29" i="2"/>
  <c r="CQ29" i="2"/>
  <c r="CM29" i="2"/>
  <c r="CI29" i="2"/>
  <c r="CE29" i="2"/>
  <c r="CA29" i="2"/>
  <c r="BW29" i="2"/>
  <c r="BS29" i="2"/>
  <c r="BO29" i="2"/>
  <c r="BK29" i="2"/>
  <c r="BG29" i="2"/>
  <c r="BC29" i="2"/>
  <c r="AY29" i="2"/>
  <c r="AU29" i="2"/>
  <c r="AQ29" i="2"/>
  <c r="AM29" i="2"/>
  <c r="AI29" i="2"/>
  <c r="AE29" i="2"/>
  <c r="AA29" i="2"/>
  <c r="W29" i="2"/>
  <c r="S29" i="2"/>
  <c r="O29" i="2"/>
  <c r="K29" i="2"/>
  <c r="G29" i="2"/>
  <c r="CZ29" i="2"/>
  <c r="CJ29" i="2"/>
  <c r="BT29" i="2"/>
  <c r="BD29" i="2"/>
  <c r="AN29" i="2"/>
  <c r="X29" i="2"/>
  <c r="L29" i="2"/>
  <c r="CV29" i="2"/>
  <c r="CF29" i="2"/>
  <c r="BP29" i="2"/>
  <c r="AZ29" i="2"/>
  <c r="AJ29" i="2"/>
  <c r="T29" i="2"/>
  <c r="I29" i="2"/>
  <c r="CR29" i="2"/>
  <c r="CB29" i="2"/>
  <c r="BL29" i="2"/>
  <c r="AV29" i="2"/>
  <c r="AF29" i="2"/>
  <c r="P29" i="2"/>
  <c r="H29" i="2"/>
  <c r="CN29" i="2"/>
  <c r="BX29" i="2"/>
  <c r="BH29" i="2"/>
  <c r="AR29" i="2"/>
  <c r="AB29" i="2"/>
  <c r="M29" i="2"/>
  <c r="DS54" i="2"/>
  <c r="DO54" i="2"/>
  <c r="DK54" i="2"/>
  <c r="DG54" i="2"/>
  <c r="DC54" i="2"/>
  <c r="CY54" i="2"/>
  <c r="CU54" i="2"/>
  <c r="CQ54" i="2"/>
  <c r="CM54" i="2"/>
  <c r="CI54" i="2"/>
  <c r="CE54" i="2"/>
  <c r="CA54" i="2"/>
  <c r="BW54" i="2"/>
  <c r="BS54" i="2"/>
  <c r="BO54" i="2"/>
  <c r="BK54" i="2"/>
  <c r="BG54" i="2"/>
  <c r="BC54" i="2"/>
  <c r="DV54" i="2"/>
  <c r="DR54" i="2"/>
  <c r="DN54" i="2"/>
  <c r="DJ54" i="2"/>
  <c r="DF54" i="2"/>
  <c r="DB54" i="2"/>
  <c r="CX54" i="2"/>
  <c r="CT54" i="2"/>
  <c r="CP54" i="2"/>
  <c r="CL54" i="2"/>
  <c r="CH54" i="2"/>
  <c r="CD54" i="2"/>
  <c r="BZ54" i="2"/>
  <c r="BV54" i="2"/>
  <c r="BR54" i="2"/>
  <c r="BN54" i="2"/>
  <c r="BJ54" i="2"/>
  <c r="BF54" i="2"/>
  <c r="G54" i="2"/>
  <c r="DU54" i="2"/>
  <c r="DQ54" i="2"/>
  <c r="DM54" i="2"/>
  <c r="DI54" i="2"/>
  <c r="DE54" i="2"/>
  <c r="DA54" i="2"/>
  <c r="CW54" i="2"/>
  <c r="CS54" i="2"/>
  <c r="CO54" i="2"/>
  <c r="CK54" i="2"/>
  <c r="CG54" i="2"/>
  <c r="CC54" i="2"/>
  <c r="BY54" i="2"/>
  <c r="BU54" i="2"/>
  <c r="BQ54" i="2"/>
  <c r="BM54" i="2"/>
  <c r="BI54" i="2"/>
  <c r="BE54" i="2"/>
  <c r="DT54" i="2"/>
  <c r="DP54" i="2"/>
  <c r="DL54" i="2"/>
  <c r="DH54" i="2"/>
  <c r="DD54" i="2"/>
  <c r="CZ54" i="2"/>
  <c r="CV54" i="2"/>
  <c r="CR54" i="2"/>
  <c r="CN54" i="2"/>
  <c r="CJ54" i="2"/>
  <c r="CF54" i="2"/>
  <c r="CB54" i="2"/>
  <c r="BX54" i="2"/>
  <c r="BT54" i="2"/>
  <c r="BP54" i="2"/>
  <c r="BL54" i="2"/>
  <c r="BH54" i="2"/>
  <c r="BD54" i="2"/>
  <c r="AO54" i="2"/>
  <c r="Y54" i="2"/>
  <c r="I54" i="2"/>
  <c r="AN54" i="2"/>
  <c r="X54" i="2"/>
  <c r="H54" i="2"/>
  <c r="AM54" i="2"/>
  <c r="W54" i="2"/>
  <c r="BB54" i="2"/>
  <c r="AL54" i="2"/>
  <c r="V54" i="2"/>
  <c r="R54" i="2"/>
  <c r="AS54" i="2"/>
  <c r="AC54" i="2"/>
  <c r="AB54" i="2"/>
  <c r="AA54" i="2"/>
  <c r="Z54" i="2"/>
  <c r="BA54" i="2"/>
  <c r="AK54" i="2"/>
  <c r="U54" i="2"/>
  <c r="AZ54" i="2"/>
  <c r="AJ54" i="2"/>
  <c r="T54" i="2"/>
  <c r="AY54" i="2"/>
  <c r="AI54" i="2"/>
  <c r="S54" i="2"/>
  <c r="AX54" i="2"/>
  <c r="AH54" i="2"/>
  <c r="M54" i="2"/>
  <c r="L54" i="2"/>
  <c r="K54" i="2"/>
  <c r="J54" i="2"/>
  <c r="AW54" i="2"/>
  <c r="AG54" i="2"/>
  <c r="Q54" i="2"/>
  <c r="AV54" i="2"/>
  <c r="AF54" i="2"/>
  <c r="P54" i="2"/>
  <c r="AU54" i="2"/>
  <c r="AE54" i="2"/>
  <c r="O54" i="2"/>
  <c r="AT54" i="2"/>
  <c r="AD54" i="2"/>
  <c r="N54" i="2"/>
  <c r="AR54" i="2"/>
  <c r="AQ54" i="2"/>
  <c r="AP54" i="2"/>
  <c r="G56" i="2"/>
  <c r="G43" i="2"/>
  <c r="DU57" i="2"/>
  <c r="DQ57" i="2"/>
  <c r="DM57" i="2"/>
  <c r="DI57" i="2"/>
  <c r="DE57" i="2"/>
  <c r="DA57" i="2"/>
  <c r="CW57" i="2"/>
  <c r="CS57" i="2"/>
  <c r="CO57" i="2"/>
  <c r="CK57" i="2"/>
  <c r="CG57" i="2"/>
  <c r="CC57" i="2"/>
  <c r="BY57" i="2"/>
  <c r="BU57" i="2"/>
  <c r="BQ57" i="2"/>
  <c r="BM57" i="2"/>
  <c r="BI57" i="2"/>
  <c r="BE57" i="2"/>
  <c r="DT57" i="2"/>
  <c r="DP57" i="2"/>
  <c r="DL57" i="2"/>
  <c r="DH57" i="2"/>
  <c r="DD57" i="2"/>
  <c r="CZ57" i="2"/>
  <c r="CV57" i="2"/>
  <c r="CR57" i="2"/>
  <c r="CN57" i="2"/>
  <c r="CJ57" i="2"/>
  <c r="CF57" i="2"/>
  <c r="CB57" i="2"/>
  <c r="BX57" i="2"/>
  <c r="BT57" i="2"/>
  <c r="BP57" i="2"/>
  <c r="BL57" i="2"/>
  <c r="BH57" i="2"/>
  <c r="BD57" i="2"/>
  <c r="DS57" i="2"/>
  <c r="DO57" i="2"/>
  <c r="DK57" i="2"/>
  <c r="DG57" i="2"/>
  <c r="DC57" i="2"/>
  <c r="CY57" i="2"/>
  <c r="CU57" i="2"/>
  <c r="CQ57" i="2"/>
  <c r="CM57" i="2"/>
  <c r="CI57" i="2"/>
  <c r="CE57" i="2"/>
  <c r="CA57" i="2"/>
  <c r="BW57" i="2"/>
  <c r="BS57" i="2"/>
  <c r="BO57" i="2"/>
  <c r="BK57" i="2"/>
  <c r="BG57" i="2"/>
  <c r="BC57" i="2"/>
  <c r="DV57" i="2"/>
  <c r="DR57" i="2"/>
  <c r="DN57" i="2"/>
  <c r="DJ57" i="2"/>
  <c r="DF57" i="2"/>
  <c r="DB57" i="2"/>
  <c r="CX57" i="2"/>
  <c r="CT57" i="2"/>
  <c r="CP57" i="2"/>
  <c r="CL57" i="2"/>
  <c r="CH57" i="2"/>
  <c r="CD57" i="2"/>
  <c r="BZ57" i="2"/>
  <c r="BV57" i="2"/>
  <c r="BR57" i="2"/>
  <c r="BN57" i="2"/>
  <c r="BJ57" i="2"/>
  <c r="BF57" i="2"/>
  <c r="BA57" i="2"/>
  <c r="AK57" i="2"/>
  <c r="U57" i="2"/>
  <c r="AZ57" i="2"/>
  <c r="AJ57" i="2"/>
  <c r="T57" i="2"/>
  <c r="AY57" i="2"/>
  <c r="AI57" i="2"/>
  <c r="S57" i="2"/>
  <c r="AX57" i="2"/>
  <c r="AH57" i="2"/>
  <c r="R57" i="2"/>
  <c r="BB57" i="2"/>
  <c r="AW57" i="2"/>
  <c r="AG57" i="2"/>
  <c r="Q57" i="2"/>
  <c r="AV57" i="2"/>
  <c r="AF57" i="2"/>
  <c r="P57" i="2"/>
  <c r="AU57" i="2"/>
  <c r="AE57" i="2"/>
  <c r="O57" i="2"/>
  <c r="AT57" i="2"/>
  <c r="AD57" i="2"/>
  <c r="N57" i="2"/>
  <c r="H57" i="2"/>
  <c r="AL57" i="2"/>
  <c r="AS57" i="2"/>
  <c r="AC57" i="2"/>
  <c r="M57" i="2"/>
  <c r="AR57" i="2"/>
  <c r="AB57" i="2"/>
  <c r="L57" i="2"/>
  <c r="AQ57" i="2"/>
  <c r="AA57" i="2"/>
  <c r="K57" i="2"/>
  <c r="AP57" i="2"/>
  <c r="Z57" i="2"/>
  <c r="J57" i="2"/>
  <c r="X57" i="2"/>
  <c r="W57" i="2"/>
  <c r="AO57" i="2"/>
  <c r="Y57" i="2"/>
  <c r="I57" i="2"/>
  <c r="AN57" i="2"/>
  <c r="AM57" i="2"/>
  <c r="V57" i="2"/>
  <c r="A59" i="2"/>
  <c r="E5" i="9"/>
  <c r="I894" i="1"/>
  <c r="I893" i="1"/>
  <c r="I892" i="1"/>
  <c r="I891" i="1"/>
  <c r="DT59" i="2" l="1"/>
  <c r="DP59" i="2"/>
  <c r="DL59" i="2"/>
  <c r="DH59" i="2"/>
  <c r="DD59" i="2"/>
  <c r="CZ59" i="2"/>
  <c r="CV59" i="2"/>
  <c r="CR59" i="2"/>
  <c r="CN59" i="2"/>
  <c r="CJ59" i="2"/>
  <c r="CF59" i="2"/>
  <c r="CB59" i="2"/>
  <c r="BX59" i="2"/>
  <c r="BT59" i="2"/>
  <c r="BP59" i="2"/>
  <c r="BL59" i="2"/>
  <c r="BH59" i="2"/>
  <c r="BD59" i="2"/>
  <c r="AZ59" i="2"/>
  <c r="AV59" i="2"/>
  <c r="AR59" i="2"/>
  <c r="AN59" i="2"/>
  <c r="AJ59" i="2"/>
  <c r="AF59" i="2"/>
  <c r="AB59" i="2"/>
  <c r="X59" i="2"/>
  <c r="T59" i="2"/>
  <c r="P59" i="2"/>
  <c r="L59" i="2"/>
  <c r="H59" i="2"/>
  <c r="DU59" i="2"/>
  <c r="DO59" i="2"/>
  <c r="DJ59" i="2"/>
  <c r="DE59" i="2"/>
  <c r="CY59" i="2"/>
  <c r="CT59" i="2"/>
  <c r="CO59" i="2"/>
  <c r="CI59" i="2"/>
  <c r="CD59" i="2"/>
  <c r="BY59" i="2"/>
  <c r="BS59" i="2"/>
  <c r="BN59" i="2"/>
  <c r="BI59" i="2"/>
  <c r="BC59" i="2"/>
  <c r="AX59" i="2"/>
  <c r="AS59" i="2"/>
  <c r="AM59" i="2"/>
  <c r="AH59" i="2"/>
  <c r="AC59" i="2"/>
  <c r="W59" i="2"/>
  <c r="R59" i="2"/>
  <c r="M59" i="2"/>
  <c r="G59" i="2"/>
  <c r="DS59" i="2"/>
  <c r="DN59" i="2"/>
  <c r="DI59" i="2"/>
  <c r="DC59" i="2"/>
  <c r="CX59" i="2"/>
  <c r="CS59" i="2"/>
  <c r="CM59" i="2"/>
  <c r="CH59" i="2"/>
  <c r="CC59" i="2"/>
  <c r="BW59" i="2"/>
  <c r="BR59" i="2"/>
  <c r="BM59" i="2"/>
  <c r="BG59" i="2"/>
  <c r="BB59" i="2"/>
  <c r="AW59" i="2"/>
  <c r="DV59" i="2"/>
  <c r="DK59" i="2"/>
  <c r="DA59" i="2"/>
  <c r="CP59" i="2"/>
  <c r="CE59" i="2"/>
  <c r="BU59" i="2"/>
  <c r="BJ59" i="2"/>
  <c r="AY59" i="2"/>
  <c r="AP59" i="2"/>
  <c r="AI59" i="2"/>
  <c r="AA59" i="2"/>
  <c r="U59" i="2"/>
  <c r="N59" i="2"/>
  <c r="DR59" i="2"/>
  <c r="DG59" i="2"/>
  <c r="CW59" i="2"/>
  <c r="CL59" i="2"/>
  <c r="CA59" i="2"/>
  <c r="BQ59" i="2"/>
  <c r="BF59" i="2"/>
  <c r="AU59" i="2"/>
  <c r="AO59" i="2"/>
  <c r="AG59" i="2"/>
  <c r="Z59" i="2"/>
  <c r="S59" i="2"/>
  <c r="K59" i="2"/>
  <c r="DQ59" i="2"/>
  <c r="DF59" i="2"/>
  <c r="CU59" i="2"/>
  <c r="CK59" i="2"/>
  <c r="BZ59" i="2"/>
  <c r="BO59" i="2"/>
  <c r="BE59" i="2"/>
  <c r="AT59" i="2"/>
  <c r="AL59" i="2"/>
  <c r="AE59" i="2"/>
  <c r="Y59" i="2"/>
  <c r="Q59" i="2"/>
  <c r="J59" i="2"/>
  <c r="DM59" i="2"/>
  <c r="DB59" i="2"/>
  <c r="CQ59" i="2"/>
  <c r="CG59" i="2"/>
  <c r="BV59" i="2"/>
  <c r="BK59" i="2"/>
  <c r="BA59" i="2"/>
  <c r="AQ59" i="2"/>
  <c r="AK59" i="2"/>
  <c r="AD59" i="2"/>
  <c r="V59" i="2"/>
  <c r="O59" i="2"/>
  <c r="I59" i="2"/>
  <c r="B22" i="2"/>
  <c r="F22" i="2" s="1"/>
  <c r="B24" i="2"/>
  <c r="F24" i="2" s="1"/>
  <c r="I871" i="1"/>
  <c r="I870" i="1"/>
  <c r="I869" i="1"/>
  <c r="I862" i="1"/>
  <c r="I861" i="1"/>
  <c r="I860" i="1"/>
  <c r="I853" i="1"/>
  <c r="I852" i="1"/>
  <c r="I851" i="1"/>
  <c r="K37" i="1" l="1"/>
  <c r="K36" i="1"/>
  <c r="K35" i="1"/>
  <c r="I957" i="1" l="1"/>
  <c r="I956" i="1"/>
  <c r="I955" i="1"/>
  <c r="DM35" i="2" l="1"/>
  <c r="CW35" i="2"/>
  <c r="CG35" i="2"/>
  <c r="BQ35" i="2"/>
  <c r="DL35" i="2"/>
  <c r="CV35" i="2"/>
  <c r="CF35" i="2"/>
  <c r="BP35" i="2"/>
  <c r="DK35" i="2"/>
  <c r="CU35" i="2"/>
  <c r="CE35" i="2"/>
  <c r="BO35" i="2"/>
  <c r="DJ35" i="2"/>
  <c r="CT35" i="2"/>
  <c r="CD35" i="2"/>
  <c r="BN35" i="2"/>
  <c r="DI35" i="2"/>
  <c r="CS35" i="2"/>
  <c r="CC35" i="2"/>
  <c r="BM35" i="2"/>
  <c r="DH35" i="2"/>
  <c r="CR35" i="2"/>
  <c r="CB35" i="2"/>
  <c r="BL35" i="2"/>
  <c r="DG35" i="2"/>
  <c r="CQ35" i="2"/>
  <c r="CA35" i="2"/>
  <c r="DV35" i="2"/>
  <c r="DF35" i="2"/>
  <c r="CP35" i="2"/>
  <c r="BZ35" i="2"/>
  <c r="DU35" i="2"/>
  <c r="DE35" i="2"/>
  <c r="CO35" i="2"/>
  <c r="BY35" i="2"/>
  <c r="DT35" i="2"/>
  <c r="DD35" i="2"/>
  <c r="CN35" i="2"/>
  <c r="BX35" i="2"/>
  <c r="DS35" i="2"/>
  <c r="DC35" i="2"/>
  <c r="CM35" i="2"/>
  <c r="BW35" i="2"/>
  <c r="DR35" i="2"/>
  <c r="DB35" i="2"/>
  <c r="CL35" i="2"/>
  <c r="BV35" i="2"/>
  <c r="DQ35" i="2"/>
  <c r="DA35" i="2"/>
  <c r="CK35" i="2"/>
  <c r="BU35" i="2"/>
  <c r="DP35" i="2"/>
  <c r="CZ35" i="2"/>
  <c r="CJ35" i="2"/>
  <c r="BT35" i="2"/>
  <c r="DO35" i="2"/>
  <c r="CY35" i="2"/>
  <c r="CI35" i="2"/>
  <c r="BS35" i="2"/>
  <c r="DN35" i="2"/>
  <c r="CX35" i="2"/>
  <c r="CH35" i="2"/>
  <c r="BR35" i="2"/>
  <c r="BI35" i="2"/>
  <c r="BG35" i="2"/>
  <c r="BE35" i="2"/>
  <c r="BC35" i="2"/>
  <c r="BH35" i="2"/>
  <c r="BJ35" i="2"/>
  <c r="BD35" i="2"/>
  <c r="BK35" i="2"/>
  <c r="BF35" i="2"/>
  <c r="AZ35" i="2"/>
  <c r="AV35" i="2"/>
  <c r="AR35" i="2"/>
  <c r="AN35" i="2"/>
  <c r="AJ35" i="2"/>
  <c r="AF35" i="2"/>
  <c r="AB35" i="2"/>
  <c r="X35" i="2"/>
  <c r="T35" i="2"/>
  <c r="AY35" i="2"/>
  <c r="AU35" i="2"/>
  <c r="AQ35" i="2"/>
  <c r="AM35" i="2"/>
  <c r="AI35" i="2"/>
  <c r="AE35" i="2"/>
  <c r="AA35" i="2"/>
  <c r="W35" i="2"/>
  <c r="S35" i="2"/>
  <c r="BB35" i="2"/>
  <c r="AX35" i="2"/>
  <c r="AT35" i="2"/>
  <c r="AP35" i="2"/>
  <c r="AL35" i="2"/>
  <c r="AH35" i="2"/>
  <c r="AD35" i="2"/>
  <c r="Z35" i="2"/>
  <c r="V35" i="2"/>
  <c r="BA35" i="2"/>
  <c r="AW35" i="2"/>
  <c r="AS35" i="2"/>
  <c r="AO35" i="2"/>
  <c r="AK35" i="2"/>
  <c r="AG35" i="2"/>
  <c r="AC35" i="2"/>
  <c r="Y35" i="2"/>
  <c r="U35" i="2"/>
  <c r="F75" i="2"/>
  <c r="E77" i="2" l="1"/>
  <c r="E26" i="2"/>
  <c r="F57" i="2"/>
  <c r="F56" i="2"/>
  <c r="A70" i="2" l="1"/>
  <c r="DT70" i="2" l="1"/>
  <c r="DP70" i="2"/>
  <c r="DL70" i="2"/>
  <c r="DH70" i="2"/>
  <c r="DD70" i="2"/>
  <c r="CZ70" i="2"/>
  <c r="CV70" i="2"/>
  <c r="CR70" i="2"/>
  <c r="CN70" i="2"/>
  <c r="CJ70" i="2"/>
  <c r="CF70" i="2"/>
  <c r="CB70" i="2"/>
  <c r="BX70" i="2"/>
  <c r="BT70" i="2"/>
  <c r="BP70" i="2"/>
  <c r="BL70" i="2"/>
  <c r="BH70" i="2"/>
  <c r="BD70" i="2"/>
  <c r="AZ70" i="2"/>
  <c r="AV70" i="2"/>
  <c r="AR70" i="2"/>
  <c r="AN70" i="2"/>
  <c r="AJ70" i="2"/>
  <c r="AF70" i="2"/>
  <c r="AB70" i="2"/>
  <c r="X70" i="2"/>
  <c r="T70" i="2"/>
  <c r="P70" i="2"/>
  <c r="L70" i="2"/>
  <c r="H70" i="2"/>
  <c r="DU70" i="2"/>
  <c r="DQ70" i="2"/>
  <c r="DM70" i="2"/>
  <c r="DI70" i="2"/>
  <c r="DE70" i="2"/>
  <c r="DA70" i="2"/>
  <c r="CW70" i="2"/>
  <c r="CS70" i="2"/>
  <c r="CO70" i="2"/>
  <c r="CK70" i="2"/>
  <c r="CG70" i="2"/>
  <c r="CC70" i="2"/>
  <c r="BY70" i="2"/>
  <c r="BU70" i="2"/>
  <c r="BQ70" i="2"/>
  <c r="BM70" i="2"/>
  <c r="BI70" i="2"/>
  <c r="BE70" i="2"/>
  <c r="BA70" i="2"/>
  <c r="AW70" i="2"/>
  <c r="AS70" i="2"/>
  <c r="AO70" i="2"/>
  <c r="AK70" i="2"/>
  <c r="AG70" i="2"/>
  <c r="AC70" i="2"/>
  <c r="Y70" i="2"/>
  <c r="U70" i="2"/>
  <c r="Q70" i="2"/>
  <c r="M70" i="2"/>
  <c r="I70" i="2"/>
  <c r="DV70" i="2"/>
  <c r="DN70" i="2"/>
  <c r="DF70" i="2"/>
  <c r="CX70" i="2"/>
  <c r="CP70" i="2"/>
  <c r="CH70" i="2"/>
  <c r="BZ70" i="2"/>
  <c r="BR70" i="2"/>
  <c r="BJ70" i="2"/>
  <c r="BB70" i="2"/>
  <c r="AT70" i="2"/>
  <c r="AL70" i="2"/>
  <c r="AD70" i="2"/>
  <c r="V70" i="2"/>
  <c r="N70" i="2"/>
  <c r="DS70" i="2"/>
  <c r="DK70" i="2"/>
  <c r="DC70" i="2"/>
  <c r="CU70" i="2"/>
  <c r="CM70" i="2"/>
  <c r="CE70" i="2"/>
  <c r="BW70" i="2"/>
  <c r="BO70" i="2"/>
  <c r="BG70" i="2"/>
  <c r="AY70" i="2"/>
  <c r="AQ70" i="2"/>
  <c r="AI70" i="2"/>
  <c r="AA70" i="2"/>
  <c r="S70" i="2"/>
  <c r="K70" i="2"/>
  <c r="DR70" i="2"/>
  <c r="DB70" i="2"/>
  <c r="CL70" i="2"/>
  <c r="BV70" i="2"/>
  <c r="BF70" i="2"/>
  <c r="AP70" i="2"/>
  <c r="Z70" i="2"/>
  <c r="J70" i="2"/>
  <c r="DO70" i="2"/>
  <c r="CY70" i="2"/>
  <c r="CI70" i="2"/>
  <c r="BS70" i="2"/>
  <c r="BC70" i="2"/>
  <c r="AM70" i="2"/>
  <c r="W70" i="2"/>
  <c r="G70" i="2"/>
  <c r="DJ70" i="2"/>
  <c r="CT70" i="2"/>
  <c r="CD70" i="2"/>
  <c r="BN70" i="2"/>
  <c r="AX70" i="2"/>
  <c r="AH70" i="2"/>
  <c r="R70" i="2"/>
  <c r="BK70" i="2"/>
  <c r="DG70" i="2"/>
  <c r="AU70" i="2"/>
  <c r="CQ70" i="2"/>
  <c r="AE70" i="2"/>
  <c r="CA70" i="2"/>
  <c r="O70" i="2"/>
  <c r="A69" i="2"/>
  <c r="A67" i="2"/>
  <c r="A66" i="2"/>
  <c r="A68" i="2"/>
  <c r="A61" i="2"/>
  <c r="DT61" i="2" l="1"/>
  <c r="DP61" i="2"/>
  <c r="DL61" i="2"/>
  <c r="DH61" i="2"/>
  <c r="DD61" i="2"/>
  <c r="CZ61" i="2"/>
  <c r="CV61" i="2"/>
  <c r="CR61" i="2"/>
  <c r="CN61" i="2"/>
  <c r="CJ61" i="2"/>
  <c r="CF61" i="2"/>
  <c r="CB61" i="2"/>
  <c r="BX61" i="2"/>
  <c r="BT61" i="2"/>
  <c r="BP61" i="2"/>
  <c r="BL61" i="2"/>
  <c r="BH61" i="2"/>
  <c r="BD61" i="2"/>
  <c r="AZ61" i="2"/>
  <c r="AV61" i="2"/>
  <c r="AR61" i="2"/>
  <c r="AN61" i="2"/>
  <c r="AJ61" i="2"/>
  <c r="AF61" i="2"/>
  <c r="AB61" i="2"/>
  <c r="X61" i="2"/>
  <c r="T61" i="2"/>
  <c r="P61" i="2"/>
  <c r="L61" i="2"/>
  <c r="H61" i="2"/>
  <c r="DU61" i="2"/>
  <c r="DO61" i="2"/>
  <c r="DJ61" i="2"/>
  <c r="DE61" i="2"/>
  <c r="CY61" i="2"/>
  <c r="CT61" i="2"/>
  <c r="CO61" i="2"/>
  <c r="CI61" i="2"/>
  <c r="CD61" i="2"/>
  <c r="BY61" i="2"/>
  <c r="BS61" i="2"/>
  <c r="BN61" i="2"/>
  <c r="BI61" i="2"/>
  <c r="BC61" i="2"/>
  <c r="AX61" i="2"/>
  <c r="AS61" i="2"/>
  <c r="AM61" i="2"/>
  <c r="AH61" i="2"/>
  <c r="AC61" i="2"/>
  <c r="W61" i="2"/>
  <c r="R61" i="2"/>
  <c r="M61" i="2"/>
  <c r="G61" i="2"/>
  <c r="DS61" i="2"/>
  <c r="DN61" i="2"/>
  <c r="DI61" i="2"/>
  <c r="DC61" i="2"/>
  <c r="CX61" i="2"/>
  <c r="CS61" i="2"/>
  <c r="CM61" i="2"/>
  <c r="CH61" i="2"/>
  <c r="CC61" i="2"/>
  <c r="BW61" i="2"/>
  <c r="BR61" i="2"/>
  <c r="BM61" i="2"/>
  <c r="BG61" i="2"/>
  <c r="BB61" i="2"/>
  <c r="AW61" i="2"/>
  <c r="AQ61" i="2"/>
  <c r="AL61" i="2"/>
  <c r="AG61" i="2"/>
  <c r="AA61" i="2"/>
  <c r="V61" i="2"/>
  <c r="Q61" i="2"/>
  <c r="K61" i="2"/>
  <c r="DR61" i="2"/>
  <c r="DM61" i="2"/>
  <c r="DV61" i="2"/>
  <c r="DF61" i="2"/>
  <c r="CU61" i="2"/>
  <c r="CK61" i="2"/>
  <c r="BZ61" i="2"/>
  <c r="BO61" i="2"/>
  <c r="BE61" i="2"/>
  <c r="AT61" i="2"/>
  <c r="AI61" i="2"/>
  <c r="Y61" i="2"/>
  <c r="N61" i="2"/>
  <c r="DQ61" i="2"/>
  <c r="DB61" i="2"/>
  <c r="CQ61" i="2"/>
  <c r="CG61" i="2"/>
  <c r="BV61" i="2"/>
  <c r="BK61" i="2"/>
  <c r="BA61" i="2"/>
  <c r="AP61" i="2"/>
  <c r="AE61" i="2"/>
  <c r="U61" i="2"/>
  <c r="J61" i="2"/>
  <c r="DK61" i="2"/>
  <c r="DA61" i="2"/>
  <c r="CP61" i="2"/>
  <c r="CE61" i="2"/>
  <c r="BU61" i="2"/>
  <c r="BJ61" i="2"/>
  <c r="AY61" i="2"/>
  <c r="AO61" i="2"/>
  <c r="AD61" i="2"/>
  <c r="S61" i="2"/>
  <c r="I61" i="2"/>
  <c r="DG61" i="2"/>
  <c r="CW61" i="2"/>
  <c r="CL61" i="2"/>
  <c r="CA61" i="2"/>
  <c r="BQ61" i="2"/>
  <c r="BF61" i="2"/>
  <c r="AU61" i="2"/>
  <c r="AK61" i="2"/>
  <c r="Z61" i="2"/>
  <c r="O61" i="2"/>
  <c r="DT68" i="2"/>
  <c r="DP68" i="2"/>
  <c r="DL68" i="2"/>
  <c r="DH68" i="2"/>
  <c r="DD68" i="2"/>
  <c r="CZ68" i="2"/>
  <c r="CV68" i="2"/>
  <c r="CR68" i="2"/>
  <c r="CN68" i="2"/>
  <c r="CJ68" i="2"/>
  <c r="CF68" i="2"/>
  <c r="CB68" i="2"/>
  <c r="BX68" i="2"/>
  <c r="BT68" i="2"/>
  <c r="BP68" i="2"/>
  <c r="BL68" i="2"/>
  <c r="BH68" i="2"/>
  <c r="BD68" i="2"/>
  <c r="AZ68" i="2"/>
  <c r="AV68" i="2"/>
  <c r="AR68" i="2"/>
  <c r="AN68" i="2"/>
  <c r="AJ68" i="2"/>
  <c r="AF68" i="2"/>
  <c r="AB68" i="2"/>
  <c r="X68" i="2"/>
  <c r="T68" i="2"/>
  <c r="P68" i="2"/>
  <c r="L68" i="2"/>
  <c r="H68" i="2"/>
  <c r="DU68" i="2"/>
  <c r="DQ68" i="2"/>
  <c r="DM68" i="2"/>
  <c r="DI68" i="2"/>
  <c r="DE68" i="2"/>
  <c r="DA68" i="2"/>
  <c r="CW68" i="2"/>
  <c r="CS68" i="2"/>
  <c r="CO68" i="2"/>
  <c r="CK68" i="2"/>
  <c r="CG68" i="2"/>
  <c r="CC68" i="2"/>
  <c r="BY68" i="2"/>
  <c r="BU68" i="2"/>
  <c r="BQ68" i="2"/>
  <c r="BM68" i="2"/>
  <c r="BI68" i="2"/>
  <c r="BE68" i="2"/>
  <c r="BA68" i="2"/>
  <c r="AW68" i="2"/>
  <c r="AS68" i="2"/>
  <c r="AO68" i="2"/>
  <c r="AK68" i="2"/>
  <c r="AG68" i="2"/>
  <c r="AC68" i="2"/>
  <c r="Y68" i="2"/>
  <c r="U68" i="2"/>
  <c r="Q68" i="2"/>
  <c r="M68" i="2"/>
  <c r="I68" i="2"/>
  <c r="DV68" i="2"/>
  <c r="DN68" i="2"/>
  <c r="DF68" i="2"/>
  <c r="CX68" i="2"/>
  <c r="CP68" i="2"/>
  <c r="CH68" i="2"/>
  <c r="BZ68" i="2"/>
  <c r="BR68" i="2"/>
  <c r="BJ68" i="2"/>
  <c r="BB68" i="2"/>
  <c r="AT68" i="2"/>
  <c r="AL68" i="2"/>
  <c r="AD68" i="2"/>
  <c r="V68" i="2"/>
  <c r="N68" i="2"/>
  <c r="DS68" i="2"/>
  <c r="DK68" i="2"/>
  <c r="DC68" i="2"/>
  <c r="CU68" i="2"/>
  <c r="CM68" i="2"/>
  <c r="CE68" i="2"/>
  <c r="BW68" i="2"/>
  <c r="BO68" i="2"/>
  <c r="BG68" i="2"/>
  <c r="AY68" i="2"/>
  <c r="AQ68" i="2"/>
  <c r="AI68" i="2"/>
  <c r="AA68" i="2"/>
  <c r="S68" i="2"/>
  <c r="K68" i="2"/>
  <c r="DR68" i="2"/>
  <c r="DB68" i="2"/>
  <c r="CL68" i="2"/>
  <c r="BV68" i="2"/>
  <c r="BF68" i="2"/>
  <c r="AP68" i="2"/>
  <c r="Z68" i="2"/>
  <c r="J68" i="2"/>
  <c r="DO68" i="2"/>
  <c r="CY68" i="2"/>
  <c r="CI68" i="2"/>
  <c r="BS68" i="2"/>
  <c r="BC68" i="2"/>
  <c r="AM68" i="2"/>
  <c r="W68" i="2"/>
  <c r="G68" i="2"/>
  <c r="DJ68" i="2"/>
  <c r="CT68" i="2"/>
  <c r="CD68" i="2"/>
  <c r="BN68" i="2"/>
  <c r="AX68" i="2"/>
  <c r="AH68" i="2"/>
  <c r="R68" i="2"/>
  <c r="DG68" i="2"/>
  <c r="AU68" i="2"/>
  <c r="CQ68" i="2"/>
  <c r="AE68" i="2"/>
  <c r="CA68" i="2"/>
  <c r="O68" i="2"/>
  <c r="BK68" i="2"/>
  <c r="DT66" i="2"/>
  <c r="DP66" i="2"/>
  <c r="DL66" i="2"/>
  <c r="DH66" i="2"/>
  <c r="DD66" i="2"/>
  <c r="CZ66" i="2"/>
  <c r="CV66" i="2"/>
  <c r="CR66" i="2"/>
  <c r="CN66" i="2"/>
  <c r="CJ66" i="2"/>
  <c r="CF66" i="2"/>
  <c r="CB66" i="2"/>
  <c r="BX66" i="2"/>
  <c r="BT66" i="2"/>
  <c r="BP66" i="2"/>
  <c r="BL66" i="2"/>
  <c r="BH66" i="2"/>
  <c r="BD66" i="2"/>
  <c r="AZ66" i="2"/>
  <c r="AV66" i="2"/>
  <c r="AR66" i="2"/>
  <c r="AN66" i="2"/>
  <c r="AJ66" i="2"/>
  <c r="AF66" i="2"/>
  <c r="AB66" i="2"/>
  <c r="X66" i="2"/>
  <c r="T66" i="2"/>
  <c r="P66" i="2"/>
  <c r="L66" i="2"/>
  <c r="H66" i="2"/>
  <c r="DR66" i="2"/>
  <c r="DM66" i="2"/>
  <c r="DG66" i="2"/>
  <c r="DB66" i="2"/>
  <c r="CW66" i="2"/>
  <c r="CQ66" i="2"/>
  <c r="CL66" i="2"/>
  <c r="CG66" i="2"/>
  <c r="CA66" i="2"/>
  <c r="BV66" i="2"/>
  <c r="BQ66" i="2"/>
  <c r="BK66" i="2"/>
  <c r="BF66" i="2"/>
  <c r="BA66" i="2"/>
  <c r="AU66" i="2"/>
  <c r="AP66" i="2"/>
  <c r="AK66" i="2"/>
  <c r="AE66" i="2"/>
  <c r="Z66" i="2"/>
  <c r="U66" i="2"/>
  <c r="O66" i="2"/>
  <c r="J66" i="2"/>
  <c r="DV66" i="2"/>
  <c r="DQ66" i="2"/>
  <c r="DK66" i="2"/>
  <c r="DF66" i="2"/>
  <c r="DA66" i="2"/>
  <c r="CU66" i="2"/>
  <c r="CP66" i="2"/>
  <c r="CK66" i="2"/>
  <c r="CE66" i="2"/>
  <c r="BZ66" i="2"/>
  <c r="BU66" i="2"/>
  <c r="BO66" i="2"/>
  <c r="BJ66" i="2"/>
  <c r="BE66" i="2"/>
  <c r="AY66" i="2"/>
  <c r="AT66" i="2"/>
  <c r="AO66" i="2"/>
  <c r="AI66" i="2"/>
  <c r="AD66" i="2"/>
  <c r="Y66" i="2"/>
  <c r="S66" i="2"/>
  <c r="N66" i="2"/>
  <c r="I66" i="2"/>
  <c r="DU66" i="2"/>
  <c r="DO66" i="2"/>
  <c r="DJ66" i="2"/>
  <c r="DE66" i="2"/>
  <c r="CY66" i="2"/>
  <c r="CT66" i="2"/>
  <c r="CO66" i="2"/>
  <c r="CI66" i="2"/>
  <c r="CD66" i="2"/>
  <c r="BY66" i="2"/>
  <c r="BS66" i="2"/>
  <c r="BN66" i="2"/>
  <c r="BI66" i="2"/>
  <c r="BC66" i="2"/>
  <c r="AX66" i="2"/>
  <c r="AS66" i="2"/>
  <c r="AM66" i="2"/>
  <c r="AH66" i="2"/>
  <c r="AC66" i="2"/>
  <c r="W66" i="2"/>
  <c r="R66" i="2"/>
  <c r="M66" i="2"/>
  <c r="G66" i="2"/>
  <c r="DI66" i="2"/>
  <c r="CM66" i="2"/>
  <c r="BR66" i="2"/>
  <c r="AW66" i="2"/>
  <c r="AA66" i="2"/>
  <c r="DC66" i="2"/>
  <c r="CH66" i="2"/>
  <c r="BM66" i="2"/>
  <c r="AQ66" i="2"/>
  <c r="V66" i="2"/>
  <c r="DS66" i="2"/>
  <c r="CX66" i="2"/>
  <c r="CC66" i="2"/>
  <c r="BG66" i="2"/>
  <c r="AL66" i="2"/>
  <c r="Q66" i="2"/>
  <c r="DN66" i="2"/>
  <c r="CS66" i="2"/>
  <c r="BW66" i="2"/>
  <c r="BB66" i="2"/>
  <c r="AG66" i="2"/>
  <c r="K66" i="2"/>
  <c r="DT67" i="2"/>
  <c r="DP67" i="2"/>
  <c r="DL67" i="2"/>
  <c r="DH67" i="2"/>
  <c r="DD67" i="2"/>
  <c r="CZ67" i="2"/>
  <c r="CV67" i="2"/>
  <c r="DU67" i="2"/>
  <c r="DQ67" i="2"/>
  <c r="DM67" i="2"/>
  <c r="DI67" i="2"/>
  <c r="DE67" i="2"/>
  <c r="DA67" i="2"/>
  <c r="CW67" i="2"/>
  <c r="DV67" i="2"/>
  <c r="DN67" i="2"/>
  <c r="DF67" i="2"/>
  <c r="CX67" i="2"/>
  <c r="CR67" i="2"/>
  <c r="CN67" i="2"/>
  <c r="CJ67" i="2"/>
  <c r="CF67" i="2"/>
  <c r="CB67" i="2"/>
  <c r="BX67" i="2"/>
  <c r="BT67" i="2"/>
  <c r="BP67" i="2"/>
  <c r="BL67" i="2"/>
  <c r="BH67" i="2"/>
  <c r="BD67" i="2"/>
  <c r="AZ67" i="2"/>
  <c r="AV67" i="2"/>
  <c r="AR67" i="2"/>
  <c r="AN67" i="2"/>
  <c r="AJ67" i="2"/>
  <c r="AF67" i="2"/>
  <c r="AB67" i="2"/>
  <c r="X67" i="2"/>
  <c r="T67" i="2"/>
  <c r="P67" i="2"/>
  <c r="L67" i="2"/>
  <c r="H67" i="2"/>
  <c r="DS67" i="2"/>
  <c r="DK67" i="2"/>
  <c r="DC67" i="2"/>
  <c r="CU67" i="2"/>
  <c r="DJ67" i="2"/>
  <c r="CT67" i="2"/>
  <c r="CO67" i="2"/>
  <c r="CI67" i="2"/>
  <c r="CD67" i="2"/>
  <c r="BY67" i="2"/>
  <c r="BS67" i="2"/>
  <c r="BN67" i="2"/>
  <c r="BI67" i="2"/>
  <c r="BC67" i="2"/>
  <c r="AX67" i="2"/>
  <c r="AS67" i="2"/>
  <c r="AM67" i="2"/>
  <c r="AH67" i="2"/>
  <c r="AC67" i="2"/>
  <c r="W67" i="2"/>
  <c r="R67" i="2"/>
  <c r="M67" i="2"/>
  <c r="G67" i="2"/>
  <c r="DG67" i="2"/>
  <c r="CS67" i="2"/>
  <c r="CM67" i="2"/>
  <c r="CH67" i="2"/>
  <c r="CC67" i="2"/>
  <c r="BW67" i="2"/>
  <c r="BR67" i="2"/>
  <c r="BM67" i="2"/>
  <c r="BG67" i="2"/>
  <c r="BB67" i="2"/>
  <c r="AW67" i="2"/>
  <c r="AQ67" i="2"/>
  <c r="AL67" i="2"/>
  <c r="AG67" i="2"/>
  <c r="AA67" i="2"/>
  <c r="V67" i="2"/>
  <c r="Q67" i="2"/>
  <c r="K67" i="2"/>
  <c r="DR67" i="2"/>
  <c r="DB67" i="2"/>
  <c r="CQ67" i="2"/>
  <c r="CL67" i="2"/>
  <c r="CG67" i="2"/>
  <c r="CA67" i="2"/>
  <c r="BV67" i="2"/>
  <c r="BQ67" i="2"/>
  <c r="BK67" i="2"/>
  <c r="BF67" i="2"/>
  <c r="BA67" i="2"/>
  <c r="AU67" i="2"/>
  <c r="AP67" i="2"/>
  <c r="AK67" i="2"/>
  <c r="AE67" i="2"/>
  <c r="Z67" i="2"/>
  <c r="U67" i="2"/>
  <c r="O67" i="2"/>
  <c r="J67" i="2"/>
  <c r="CY67" i="2"/>
  <c r="BZ67" i="2"/>
  <c r="BE67" i="2"/>
  <c r="AI67" i="2"/>
  <c r="N67" i="2"/>
  <c r="CP67" i="2"/>
  <c r="BU67" i="2"/>
  <c r="AY67" i="2"/>
  <c r="AD67" i="2"/>
  <c r="I67" i="2"/>
  <c r="CK67" i="2"/>
  <c r="BO67" i="2"/>
  <c r="AT67" i="2"/>
  <c r="Y67" i="2"/>
  <c r="DO67" i="2"/>
  <c r="CE67" i="2"/>
  <c r="BJ67" i="2"/>
  <c r="AO67" i="2"/>
  <c r="S67" i="2"/>
  <c r="DT69" i="2"/>
  <c r="DP69" i="2"/>
  <c r="DL69" i="2"/>
  <c r="DH69" i="2"/>
  <c r="DD69" i="2"/>
  <c r="CZ69" i="2"/>
  <c r="CV69" i="2"/>
  <c r="CR69" i="2"/>
  <c r="CN69" i="2"/>
  <c r="CJ69" i="2"/>
  <c r="CF69" i="2"/>
  <c r="CB69" i="2"/>
  <c r="BX69" i="2"/>
  <c r="BT69" i="2"/>
  <c r="BP69" i="2"/>
  <c r="BL69" i="2"/>
  <c r="BH69" i="2"/>
  <c r="BD69" i="2"/>
  <c r="AZ69" i="2"/>
  <c r="AV69" i="2"/>
  <c r="AR69" i="2"/>
  <c r="AN69" i="2"/>
  <c r="AJ69" i="2"/>
  <c r="AF69" i="2"/>
  <c r="AB69" i="2"/>
  <c r="X69" i="2"/>
  <c r="T69" i="2"/>
  <c r="P69" i="2"/>
  <c r="L69" i="2"/>
  <c r="H69" i="2"/>
  <c r="DU69" i="2"/>
  <c r="DQ69" i="2"/>
  <c r="DM69" i="2"/>
  <c r="DI69" i="2"/>
  <c r="DE69" i="2"/>
  <c r="DA69" i="2"/>
  <c r="CW69" i="2"/>
  <c r="CS69" i="2"/>
  <c r="CO69" i="2"/>
  <c r="CK69" i="2"/>
  <c r="CG69" i="2"/>
  <c r="CC69" i="2"/>
  <c r="BY69" i="2"/>
  <c r="BU69" i="2"/>
  <c r="BQ69" i="2"/>
  <c r="BM69" i="2"/>
  <c r="BI69" i="2"/>
  <c r="BE69" i="2"/>
  <c r="BA69" i="2"/>
  <c r="AW69" i="2"/>
  <c r="AS69" i="2"/>
  <c r="AO69" i="2"/>
  <c r="AK69" i="2"/>
  <c r="AG69" i="2"/>
  <c r="AC69" i="2"/>
  <c r="Y69" i="2"/>
  <c r="U69" i="2"/>
  <c r="Q69" i="2"/>
  <c r="M69" i="2"/>
  <c r="I69" i="2"/>
  <c r="DV69" i="2"/>
  <c r="DN69" i="2"/>
  <c r="DF69" i="2"/>
  <c r="CX69" i="2"/>
  <c r="CP69" i="2"/>
  <c r="CH69" i="2"/>
  <c r="BZ69" i="2"/>
  <c r="BR69" i="2"/>
  <c r="BJ69" i="2"/>
  <c r="BB69" i="2"/>
  <c r="AT69" i="2"/>
  <c r="AL69" i="2"/>
  <c r="AD69" i="2"/>
  <c r="V69" i="2"/>
  <c r="N69" i="2"/>
  <c r="DS69" i="2"/>
  <c r="DK69" i="2"/>
  <c r="DC69" i="2"/>
  <c r="CU69" i="2"/>
  <c r="CM69" i="2"/>
  <c r="CE69" i="2"/>
  <c r="BW69" i="2"/>
  <c r="BO69" i="2"/>
  <c r="BG69" i="2"/>
  <c r="AY69" i="2"/>
  <c r="AQ69" i="2"/>
  <c r="AI69" i="2"/>
  <c r="AA69" i="2"/>
  <c r="S69" i="2"/>
  <c r="K69" i="2"/>
  <c r="DJ69" i="2"/>
  <c r="CT69" i="2"/>
  <c r="CD69" i="2"/>
  <c r="BN69" i="2"/>
  <c r="AX69" i="2"/>
  <c r="AH69" i="2"/>
  <c r="R69" i="2"/>
  <c r="DG69" i="2"/>
  <c r="CQ69" i="2"/>
  <c r="CA69" i="2"/>
  <c r="BK69" i="2"/>
  <c r="AU69" i="2"/>
  <c r="AE69" i="2"/>
  <c r="O69" i="2"/>
  <c r="DR69" i="2"/>
  <c r="DB69" i="2"/>
  <c r="CL69" i="2"/>
  <c r="BV69" i="2"/>
  <c r="BF69" i="2"/>
  <c r="AP69" i="2"/>
  <c r="Z69" i="2"/>
  <c r="J69" i="2"/>
  <c r="DO69" i="2"/>
  <c r="BC69" i="2"/>
  <c r="CY69" i="2"/>
  <c r="AM69" i="2"/>
  <c r="CI69" i="2"/>
  <c r="W69" i="2"/>
  <c r="BS69" i="2"/>
  <c r="G69" i="2"/>
  <c r="F19" i="2"/>
  <c r="F27" i="2"/>
  <c r="F28" i="2"/>
  <c r="F29" i="2"/>
  <c r="F30" i="2"/>
  <c r="F31" i="2"/>
  <c r="F32" i="2"/>
  <c r="F33" i="2"/>
  <c r="F34" i="2"/>
  <c r="F35" i="2"/>
  <c r="F42" i="2"/>
  <c r="F43" i="2"/>
  <c r="F47" i="2"/>
  <c r="F48" i="2"/>
  <c r="F53" i="2"/>
  <c r="F54" i="2"/>
  <c r="F55" i="2"/>
  <c r="F58" i="2"/>
  <c r="F62" i="2"/>
  <c r="F63" i="2"/>
  <c r="F64" i="2"/>
  <c r="F65" i="2"/>
  <c r="I890" i="1"/>
  <c r="I889" i="1"/>
  <c r="I888" i="1"/>
  <c r="I887" i="1"/>
  <c r="F11" i="2" l="1"/>
  <c r="I877" i="1"/>
  <c r="I876" i="1"/>
  <c r="I875" i="1"/>
  <c r="I874" i="1"/>
  <c r="I873" i="1"/>
  <c r="I872" i="1"/>
  <c r="I868" i="1"/>
  <c r="I867" i="1"/>
  <c r="I866" i="1"/>
  <c r="I865" i="1"/>
  <c r="I864" i="1"/>
  <c r="I863" i="1"/>
  <c r="I859" i="1"/>
  <c r="I858" i="1"/>
  <c r="I857" i="1"/>
  <c r="I856" i="1"/>
  <c r="I855" i="1"/>
  <c r="I854" i="1"/>
  <c r="A74" i="2"/>
  <c r="A73" i="2"/>
  <c r="A72" i="2"/>
  <c r="A71" i="2"/>
  <c r="A60" i="2"/>
  <c r="DT60" i="2" l="1"/>
  <c r="DP60" i="2"/>
  <c r="DL60" i="2"/>
  <c r="DH60" i="2"/>
  <c r="DD60" i="2"/>
  <c r="CZ60" i="2"/>
  <c r="CV60" i="2"/>
  <c r="CR60" i="2"/>
  <c r="CN60" i="2"/>
  <c r="CJ60" i="2"/>
  <c r="CF60" i="2"/>
  <c r="CB60" i="2"/>
  <c r="BX60" i="2"/>
  <c r="BT60" i="2"/>
  <c r="BP60" i="2"/>
  <c r="BL60" i="2"/>
  <c r="BH60" i="2"/>
  <c r="BD60" i="2"/>
  <c r="AZ60" i="2"/>
  <c r="AV60" i="2"/>
  <c r="AR60" i="2"/>
  <c r="AN60" i="2"/>
  <c r="AJ60" i="2"/>
  <c r="AF60" i="2"/>
  <c r="AB60" i="2"/>
  <c r="X60" i="2"/>
  <c r="T60" i="2"/>
  <c r="P60" i="2"/>
  <c r="L60" i="2"/>
  <c r="H60" i="2"/>
  <c r="DR60" i="2"/>
  <c r="DM60" i="2"/>
  <c r="DG60" i="2"/>
  <c r="DB60" i="2"/>
  <c r="CW60" i="2"/>
  <c r="CQ60" i="2"/>
  <c r="CL60" i="2"/>
  <c r="CG60" i="2"/>
  <c r="CA60" i="2"/>
  <c r="BV60" i="2"/>
  <c r="BQ60" i="2"/>
  <c r="BK60" i="2"/>
  <c r="BF60" i="2"/>
  <c r="BA60" i="2"/>
  <c r="AU60" i="2"/>
  <c r="AP60" i="2"/>
  <c r="AK60" i="2"/>
  <c r="AE60" i="2"/>
  <c r="Z60" i="2"/>
  <c r="U60" i="2"/>
  <c r="O60" i="2"/>
  <c r="J60" i="2"/>
  <c r="DV60" i="2"/>
  <c r="DQ60" i="2"/>
  <c r="DK60" i="2"/>
  <c r="DF60" i="2"/>
  <c r="DA60" i="2"/>
  <c r="CU60" i="2"/>
  <c r="CP60" i="2"/>
  <c r="CK60" i="2"/>
  <c r="CE60" i="2"/>
  <c r="BZ60" i="2"/>
  <c r="BU60" i="2"/>
  <c r="BO60" i="2"/>
  <c r="BJ60" i="2"/>
  <c r="BE60" i="2"/>
  <c r="AY60" i="2"/>
  <c r="AT60" i="2"/>
  <c r="AO60" i="2"/>
  <c r="AI60" i="2"/>
  <c r="AD60" i="2"/>
  <c r="Y60" i="2"/>
  <c r="S60" i="2"/>
  <c r="N60" i="2"/>
  <c r="I60" i="2"/>
  <c r="DS60" i="2"/>
  <c r="DI60" i="2"/>
  <c r="CX60" i="2"/>
  <c r="CM60" i="2"/>
  <c r="CC60" i="2"/>
  <c r="BR60" i="2"/>
  <c r="BG60" i="2"/>
  <c r="AW60" i="2"/>
  <c r="AL60" i="2"/>
  <c r="AA60" i="2"/>
  <c r="Q60" i="2"/>
  <c r="DO60" i="2"/>
  <c r="DE60" i="2"/>
  <c r="CT60" i="2"/>
  <c r="CI60" i="2"/>
  <c r="BY60" i="2"/>
  <c r="BN60" i="2"/>
  <c r="BC60" i="2"/>
  <c r="AS60" i="2"/>
  <c r="AH60" i="2"/>
  <c r="W60" i="2"/>
  <c r="M60" i="2"/>
  <c r="DN60" i="2"/>
  <c r="DC60" i="2"/>
  <c r="CS60" i="2"/>
  <c r="CH60" i="2"/>
  <c r="BW60" i="2"/>
  <c r="BM60" i="2"/>
  <c r="BB60" i="2"/>
  <c r="AQ60" i="2"/>
  <c r="AG60" i="2"/>
  <c r="V60" i="2"/>
  <c r="K60" i="2"/>
  <c r="DU60" i="2"/>
  <c r="DJ60" i="2"/>
  <c r="CY60" i="2"/>
  <c r="CO60" i="2"/>
  <c r="CD60" i="2"/>
  <c r="BS60" i="2"/>
  <c r="BI60" i="2"/>
  <c r="AX60" i="2"/>
  <c r="AM60" i="2"/>
  <c r="AC60" i="2"/>
  <c r="R60" i="2"/>
  <c r="G60" i="2"/>
  <c r="DT74" i="2"/>
  <c r="DP74" i="2"/>
  <c r="DL74" i="2"/>
  <c r="DH74" i="2"/>
  <c r="DD74" i="2"/>
  <c r="CZ74" i="2"/>
  <c r="CV74" i="2"/>
  <c r="CR74" i="2"/>
  <c r="CN74" i="2"/>
  <c r="CJ74" i="2"/>
  <c r="CF74" i="2"/>
  <c r="CB74" i="2"/>
  <c r="BX74" i="2"/>
  <c r="BT74" i="2"/>
  <c r="BP74" i="2"/>
  <c r="BL74" i="2"/>
  <c r="BH74" i="2"/>
  <c r="BD74" i="2"/>
  <c r="DU74" i="2"/>
  <c r="DQ74" i="2"/>
  <c r="DM74" i="2"/>
  <c r="DI74" i="2"/>
  <c r="DE74" i="2"/>
  <c r="DA74" i="2"/>
  <c r="CW74" i="2"/>
  <c r="CS74" i="2"/>
  <c r="CO74" i="2"/>
  <c r="CK74" i="2"/>
  <c r="CG74" i="2"/>
  <c r="CC74" i="2"/>
  <c r="BY74" i="2"/>
  <c r="BU74" i="2"/>
  <c r="BQ74" i="2"/>
  <c r="BM74" i="2"/>
  <c r="BI74" i="2"/>
  <c r="BE74" i="2"/>
  <c r="BA74" i="2"/>
  <c r="AW74" i="2"/>
  <c r="AS74" i="2"/>
  <c r="AO74" i="2"/>
  <c r="AK74" i="2"/>
  <c r="AG74" i="2"/>
  <c r="AC74" i="2"/>
  <c r="Y74" i="2"/>
  <c r="U74" i="2"/>
  <c r="Q74" i="2"/>
  <c r="M74" i="2"/>
  <c r="I74" i="2"/>
  <c r="DR74" i="2"/>
  <c r="DJ74" i="2"/>
  <c r="DB74" i="2"/>
  <c r="CT74" i="2"/>
  <c r="CL74" i="2"/>
  <c r="CD74" i="2"/>
  <c r="BV74" i="2"/>
  <c r="BN74" i="2"/>
  <c r="BF74" i="2"/>
  <c r="AY74" i="2"/>
  <c r="AT74" i="2"/>
  <c r="AN74" i="2"/>
  <c r="AI74" i="2"/>
  <c r="AD74" i="2"/>
  <c r="X74" i="2"/>
  <c r="S74" i="2"/>
  <c r="N74" i="2"/>
  <c r="H74" i="2"/>
  <c r="DO74" i="2"/>
  <c r="DF74" i="2"/>
  <c r="CU74" i="2"/>
  <c r="CI74" i="2"/>
  <c r="BZ74" i="2"/>
  <c r="BO74" i="2"/>
  <c r="BC74" i="2"/>
  <c r="AV74" i="2"/>
  <c r="AP74" i="2"/>
  <c r="AH74" i="2"/>
  <c r="AA74" i="2"/>
  <c r="T74" i="2"/>
  <c r="L74" i="2"/>
  <c r="DS74" i="2"/>
  <c r="DG74" i="2"/>
  <c r="CX74" i="2"/>
  <c r="CM74" i="2"/>
  <c r="CA74" i="2"/>
  <c r="BR74" i="2"/>
  <c r="BG74" i="2"/>
  <c r="AX74" i="2"/>
  <c r="AQ74" i="2"/>
  <c r="AJ74" i="2"/>
  <c r="AB74" i="2"/>
  <c r="V74" i="2"/>
  <c r="O74" i="2"/>
  <c r="G74" i="2"/>
  <c r="DK74" i="2"/>
  <c r="CP74" i="2"/>
  <c r="BS74" i="2"/>
  <c r="AZ74" i="2"/>
  <c r="AL74" i="2"/>
  <c r="W74" i="2"/>
  <c r="J74" i="2"/>
  <c r="DC74" i="2"/>
  <c r="CH74" i="2"/>
  <c r="BK74" i="2"/>
  <c r="AU74" i="2"/>
  <c r="AF74" i="2"/>
  <c r="R74" i="2"/>
  <c r="CY74" i="2"/>
  <c r="BJ74" i="2"/>
  <c r="AE74" i="2"/>
  <c r="CQ74" i="2"/>
  <c r="BB74" i="2"/>
  <c r="Z74" i="2"/>
  <c r="DV74" i="2"/>
  <c r="CE74" i="2"/>
  <c r="AR74" i="2"/>
  <c r="P74" i="2"/>
  <c r="AM74" i="2"/>
  <c r="K74" i="2"/>
  <c r="DN74" i="2"/>
  <c r="BW74" i="2"/>
  <c r="DU71" i="2"/>
  <c r="DQ71" i="2"/>
  <c r="DM71" i="2"/>
  <c r="DI71" i="2"/>
  <c r="DE71" i="2"/>
  <c r="DA71" i="2"/>
  <c r="CW71" i="2"/>
  <c r="CS71" i="2"/>
  <c r="CO71" i="2"/>
  <c r="CK71" i="2"/>
  <c r="CG71" i="2"/>
  <c r="CC71" i="2"/>
  <c r="BY71" i="2"/>
  <c r="BU71" i="2"/>
  <c r="BQ71" i="2"/>
  <c r="BM71" i="2"/>
  <c r="BI71" i="2"/>
  <c r="BE71" i="2"/>
  <c r="BA71" i="2"/>
  <c r="AW71" i="2"/>
  <c r="AS71" i="2"/>
  <c r="DT71" i="2"/>
  <c r="DO71" i="2"/>
  <c r="DJ71" i="2"/>
  <c r="DD71" i="2"/>
  <c r="CY71" i="2"/>
  <c r="CT71" i="2"/>
  <c r="CN71" i="2"/>
  <c r="CI71" i="2"/>
  <c r="CD71" i="2"/>
  <c r="BX71" i="2"/>
  <c r="BS71" i="2"/>
  <c r="BN71" i="2"/>
  <c r="BH71" i="2"/>
  <c r="BC71" i="2"/>
  <c r="AX71" i="2"/>
  <c r="AR71" i="2"/>
  <c r="AN71" i="2"/>
  <c r="AJ71" i="2"/>
  <c r="AF71" i="2"/>
  <c r="AB71" i="2"/>
  <c r="X71" i="2"/>
  <c r="T71" i="2"/>
  <c r="P71" i="2"/>
  <c r="L71" i="2"/>
  <c r="H71" i="2"/>
  <c r="DV71" i="2"/>
  <c r="DP71" i="2"/>
  <c r="DK71" i="2"/>
  <c r="DF71" i="2"/>
  <c r="CZ71" i="2"/>
  <c r="CU71" i="2"/>
  <c r="CP71" i="2"/>
  <c r="CJ71" i="2"/>
  <c r="CE71" i="2"/>
  <c r="BZ71" i="2"/>
  <c r="BT71" i="2"/>
  <c r="BO71" i="2"/>
  <c r="BJ71" i="2"/>
  <c r="BD71" i="2"/>
  <c r="AY71" i="2"/>
  <c r="AT71" i="2"/>
  <c r="AO71" i="2"/>
  <c r="AK71" i="2"/>
  <c r="AG71" i="2"/>
  <c r="AC71" i="2"/>
  <c r="Y71" i="2"/>
  <c r="U71" i="2"/>
  <c r="Q71" i="2"/>
  <c r="M71" i="2"/>
  <c r="I71" i="2"/>
  <c r="DR71" i="2"/>
  <c r="DG71" i="2"/>
  <c r="CV71" i="2"/>
  <c r="CL71" i="2"/>
  <c r="CA71" i="2"/>
  <c r="BP71" i="2"/>
  <c r="BF71" i="2"/>
  <c r="AU71" i="2"/>
  <c r="AL71" i="2"/>
  <c r="AD71" i="2"/>
  <c r="V71" i="2"/>
  <c r="N71" i="2"/>
  <c r="DN71" i="2"/>
  <c r="DC71" i="2"/>
  <c r="CR71" i="2"/>
  <c r="CH71" i="2"/>
  <c r="BW71" i="2"/>
  <c r="BL71" i="2"/>
  <c r="BB71" i="2"/>
  <c r="AQ71" i="2"/>
  <c r="AI71" i="2"/>
  <c r="AA71" i="2"/>
  <c r="S71" i="2"/>
  <c r="K71" i="2"/>
  <c r="DL71" i="2"/>
  <c r="CQ71" i="2"/>
  <c r="BV71" i="2"/>
  <c r="AZ71" i="2"/>
  <c r="AH71" i="2"/>
  <c r="R71" i="2"/>
  <c r="DH71" i="2"/>
  <c r="CM71" i="2"/>
  <c r="BR71" i="2"/>
  <c r="AV71" i="2"/>
  <c r="AE71" i="2"/>
  <c r="O71" i="2"/>
  <c r="DB71" i="2"/>
  <c r="CF71" i="2"/>
  <c r="BK71" i="2"/>
  <c r="AP71" i="2"/>
  <c r="Z71" i="2"/>
  <c r="J71" i="2"/>
  <c r="CB71" i="2"/>
  <c r="G71" i="2"/>
  <c r="BG71" i="2"/>
  <c r="DS71" i="2"/>
  <c r="AM71" i="2"/>
  <c r="CX71" i="2"/>
  <c r="W71" i="2"/>
  <c r="DU72" i="2"/>
  <c r="DQ72" i="2"/>
  <c r="DM72" i="2"/>
  <c r="DI72" i="2"/>
  <c r="DE72" i="2"/>
  <c r="DA72" i="2"/>
  <c r="CW72" i="2"/>
  <c r="CS72" i="2"/>
  <c r="CO72" i="2"/>
  <c r="CK72" i="2"/>
  <c r="CG72" i="2"/>
  <c r="CC72" i="2"/>
  <c r="BY72" i="2"/>
  <c r="BU72" i="2"/>
  <c r="BQ72" i="2"/>
  <c r="BM72" i="2"/>
  <c r="BI72" i="2"/>
  <c r="BE72" i="2"/>
  <c r="BA72" i="2"/>
  <c r="AW72" i="2"/>
  <c r="AS72" i="2"/>
  <c r="AO72" i="2"/>
  <c r="AK72" i="2"/>
  <c r="AG72" i="2"/>
  <c r="AC72" i="2"/>
  <c r="DV72" i="2"/>
  <c r="DP72" i="2"/>
  <c r="DK72" i="2"/>
  <c r="DF72" i="2"/>
  <c r="CZ72" i="2"/>
  <c r="CU72" i="2"/>
  <c r="CP72" i="2"/>
  <c r="CJ72" i="2"/>
  <c r="CE72" i="2"/>
  <c r="BZ72" i="2"/>
  <c r="BT72" i="2"/>
  <c r="BO72" i="2"/>
  <c r="BJ72" i="2"/>
  <c r="BD72" i="2"/>
  <c r="AY72" i="2"/>
  <c r="AT72" i="2"/>
  <c r="AN72" i="2"/>
  <c r="AI72" i="2"/>
  <c r="AD72" i="2"/>
  <c r="Y72" i="2"/>
  <c r="U72" i="2"/>
  <c r="Q72" i="2"/>
  <c r="M72" i="2"/>
  <c r="I72" i="2"/>
  <c r="DT72" i="2"/>
  <c r="DN72" i="2"/>
  <c r="DG72" i="2"/>
  <c r="CY72" i="2"/>
  <c r="CR72" i="2"/>
  <c r="CL72" i="2"/>
  <c r="CD72" i="2"/>
  <c r="BW72" i="2"/>
  <c r="BP72" i="2"/>
  <c r="BH72" i="2"/>
  <c r="BB72" i="2"/>
  <c r="AU72" i="2"/>
  <c r="AM72" i="2"/>
  <c r="AF72" i="2"/>
  <c r="Z72" i="2"/>
  <c r="T72" i="2"/>
  <c r="O72" i="2"/>
  <c r="J72" i="2"/>
  <c r="DO72" i="2"/>
  <c r="DH72" i="2"/>
  <c r="DB72" i="2"/>
  <c r="CT72" i="2"/>
  <c r="CM72" i="2"/>
  <c r="CF72" i="2"/>
  <c r="BX72" i="2"/>
  <c r="BR72" i="2"/>
  <c r="BK72" i="2"/>
  <c r="BC72" i="2"/>
  <c r="AV72" i="2"/>
  <c r="AP72" i="2"/>
  <c r="AH72" i="2"/>
  <c r="AA72" i="2"/>
  <c r="V72" i="2"/>
  <c r="P72" i="2"/>
  <c r="K72" i="2"/>
  <c r="DR72" i="2"/>
  <c r="DC72" i="2"/>
  <c r="CN72" i="2"/>
  <c r="CA72" i="2"/>
  <c r="BL72" i="2"/>
  <c r="AX72" i="2"/>
  <c r="AJ72" i="2"/>
  <c r="W72" i="2"/>
  <c r="L72" i="2"/>
  <c r="DL72" i="2"/>
  <c r="CX72" i="2"/>
  <c r="CI72" i="2"/>
  <c r="BV72" i="2"/>
  <c r="BG72" i="2"/>
  <c r="AR72" i="2"/>
  <c r="AE72" i="2"/>
  <c r="S72" i="2"/>
  <c r="H72" i="2"/>
  <c r="CV72" i="2"/>
  <c r="BS72" i="2"/>
  <c r="AQ72" i="2"/>
  <c r="R72" i="2"/>
  <c r="DS72" i="2"/>
  <c r="CQ72" i="2"/>
  <c r="BN72" i="2"/>
  <c r="AL72" i="2"/>
  <c r="N72" i="2"/>
  <c r="DJ72" i="2"/>
  <c r="CH72" i="2"/>
  <c r="BF72" i="2"/>
  <c r="AB72" i="2"/>
  <c r="G72" i="2"/>
  <c r="AZ72" i="2"/>
  <c r="X72" i="2"/>
  <c r="DD72" i="2"/>
  <c r="CB72" i="2"/>
  <c r="DU73" i="2"/>
  <c r="DQ73" i="2"/>
  <c r="DM73" i="2"/>
  <c r="DI73" i="2"/>
  <c r="DE73" i="2"/>
  <c r="DA73" i="2"/>
  <c r="CW73" i="2"/>
  <c r="CS73" i="2"/>
  <c r="CO73" i="2"/>
  <c r="CK73" i="2"/>
  <c r="CG73" i="2"/>
  <c r="CC73" i="2"/>
  <c r="BY73" i="2"/>
  <c r="BU73" i="2"/>
  <c r="BQ73" i="2"/>
  <c r="BM73" i="2"/>
  <c r="BI73" i="2"/>
  <c r="BE73" i="2"/>
  <c r="BA73" i="2"/>
  <c r="AW73" i="2"/>
  <c r="AS73" i="2"/>
  <c r="AO73" i="2"/>
  <c r="AK73" i="2"/>
  <c r="AG73" i="2"/>
  <c r="AC73" i="2"/>
  <c r="Y73" i="2"/>
  <c r="U73" i="2"/>
  <c r="Q73" i="2"/>
  <c r="M73" i="2"/>
  <c r="I73" i="2"/>
  <c r="DS73" i="2"/>
  <c r="DN73" i="2"/>
  <c r="DH73" i="2"/>
  <c r="DC73" i="2"/>
  <c r="CX73" i="2"/>
  <c r="CR73" i="2"/>
  <c r="CM73" i="2"/>
  <c r="CH73" i="2"/>
  <c r="CB73" i="2"/>
  <c r="BW73" i="2"/>
  <c r="BR73" i="2"/>
  <c r="BL73" i="2"/>
  <c r="BG73" i="2"/>
  <c r="BB73" i="2"/>
  <c r="AV73" i="2"/>
  <c r="AQ73" i="2"/>
  <c r="AL73" i="2"/>
  <c r="AF73" i="2"/>
  <c r="AA73" i="2"/>
  <c r="V73" i="2"/>
  <c r="P73" i="2"/>
  <c r="K73" i="2"/>
  <c r="DV73" i="2"/>
  <c r="DO73" i="2"/>
  <c r="DG73" i="2"/>
  <c r="CZ73" i="2"/>
  <c r="CT73" i="2"/>
  <c r="CL73" i="2"/>
  <c r="CE73" i="2"/>
  <c r="BX73" i="2"/>
  <c r="BP73" i="2"/>
  <c r="BJ73" i="2"/>
  <c r="BC73" i="2"/>
  <c r="AU73" i="2"/>
  <c r="AN73" i="2"/>
  <c r="AH73" i="2"/>
  <c r="Z73" i="2"/>
  <c r="S73" i="2"/>
  <c r="L73" i="2"/>
  <c r="DP73" i="2"/>
  <c r="DJ73" i="2"/>
  <c r="DB73" i="2"/>
  <c r="CU73" i="2"/>
  <c r="CN73" i="2"/>
  <c r="CF73" i="2"/>
  <c r="BZ73" i="2"/>
  <c r="BS73" i="2"/>
  <c r="BK73" i="2"/>
  <c r="BD73" i="2"/>
  <c r="AX73" i="2"/>
  <c r="AP73" i="2"/>
  <c r="AI73" i="2"/>
  <c r="AB73" i="2"/>
  <c r="T73" i="2"/>
  <c r="N73" i="2"/>
  <c r="G73" i="2"/>
  <c r="DK73" i="2"/>
  <c r="CV73" i="2"/>
  <c r="CI73" i="2"/>
  <c r="BT73" i="2"/>
  <c r="BF73" i="2"/>
  <c r="AR73" i="2"/>
  <c r="AD73" i="2"/>
  <c r="O73" i="2"/>
  <c r="DT73" i="2"/>
  <c r="DF73" i="2"/>
  <c r="CQ73" i="2"/>
  <c r="CD73" i="2"/>
  <c r="BO73" i="2"/>
  <c r="AZ73" i="2"/>
  <c r="AM73" i="2"/>
  <c r="X73" i="2"/>
  <c r="J73" i="2"/>
  <c r="DR73" i="2"/>
  <c r="CP73" i="2"/>
  <c r="BN73" i="2"/>
  <c r="AJ73" i="2"/>
  <c r="H73" i="2"/>
  <c r="DL73" i="2"/>
  <c r="CJ73" i="2"/>
  <c r="BH73" i="2"/>
  <c r="AE73" i="2"/>
  <c r="DD73" i="2"/>
  <c r="CA73" i="2"/>
  <c r="AY73" i="2"/>
  <c r="W73" i="2"/>
  <c r="AT73" i="2"/>
  <c r="R73" i="2"/>
  <c r="CY73" i="2"/>
  <c r="BV73" i="2"/>
  <c r="F11" i="9"/>
  <c r="G9" i="2" l="1"/>
  <c r="AX9" i="2"/>
  <c r="CO9" i="2"/>
  <c r="K9" i="2"/>
  <c r="BB9" i="2"/>
  <c r="CS9" i="2"/>
  <c r="W9" i="2"/>
  <c r="BN9" i="2"/>
  <c r="DE9" i="2"/>
  <c r="AL9" i="2"/>
  <c r="CC9" i="2"/>
  <c r="DS9" i="2"/>
  <c r="Y9" i="2"/>
  <c r="AT9" i="2"/>
  <c r="BO9" i="2"/>
  <c r="CK9" i="2"/>
  <c r="DF9" i="2"/>
  <c r="J9" i="2"/>
  <c r="AE9" i="2"/>
  <c r="BA9" i="2"/>
  <c r="BV9" i="2"/>
  <c r="CQ9" i="2"/>
  <c r="DM9" i="2"/>
  <c r="P9" i="2"/>
  <c r="AF9" i="2"/>
  <c r="AV9" i="2"/>
  <c r="BL9" i="2"/>
  <c r="CB9" i="2"/>
  <c r="CR9" i="2"/>
  <c r="DH9" i="2"/>
  <c r="R9" i="2"/>
  <c r="BI9" i="2"/>
  <c r="CY9" i="2"/>
  <c r="V9" i="2"/>
  <c r="BM9" i="2"/>
  <c r="DC9" i="2"/>
  <c r="AH9" i="2"/>
  <c r="BY9" i="2"/>
  <c r="DO9" i="2"/>
  <c r="AW9" i="2"/>
  <c r="CM9" i="2"/>
  <c r="I9" i="2"/>
  <c r="AD9" i="2"/>
  <c r="AY9" i="2"/>
  <c r="BU9" i="2"/>
  <c r="CP9" i="2"/>
  <c r="DK9" i="2"/>
  <c r="O9" i="2"/>
  <c r="AK9" i="2"/>
  <c r="BF9" i="2"/>
  <c r="CA9" i="2"/>
  <c r="CW9" i="2"/>
  <c r="DR9" i="2"/>
  <c r="T9" i="2"/>
  <c r="AJ9" i="2"/>
  <c r="AZ9" i="2"/>
  <c r="BP9" i="2"/>
  <c r="CF9" i="2"/>
  <c r="CV9" i="2"/>
  <c r="DL9" i="2"/>
  <c r="AC9" i="2"/>
  <c r="BS9" i="2"/>
  <c r="DJ9" i="2"/>
  <c r="AG9" i="2"/>
  <c r="BW9" i="2"/>
  <c r="DN9" i="2"/>
  <c r="AS9" i="2"/>
  <c r="CI9" i="2"/>
  <c r="Q9" i="2"/>
  <c r="BG9" i="2"/>
  <c r="CX9" i="2"/>
  <c r="N9" i="2"/>
  <c r="AI9" i="2"/>
  <c r="BE9" i="2"/>
  <c r="BZ9" i="2"/>
  <c r="CU9" i="2"/>
  <c r="DQ9" i="2"/>
  <c r="U9" i="2"/>
  <c r="AP9" i="2"/>
  <c r="BK9" i="2"/>
  <c r="CG9" i="2"/>
  <c r="DB9" i="2"/>
  <c r="H9" i="2"/>
  <c r="X9" i="2"/>
  <c r="AN9" i="2"/>
  <c r="BD9" i="2"/>
  <c r="BT9" i="2"/>
  <c r="CJ9" i="2"/>
  <c r="CZ9" i="2"/>
  <c r="DP9" i="2"/>
  <c r="AM9" i="2"/>
  <c r="CD9" i="2"/>
  <c r="DU9" i="2"/>
  <c r="AQ9" i="2"/>
  <c r="CH9" i="2"/>
  <c r="M9" i="2"/>
  <c r="BC9" i="2"/>
  <c r="CT9" i="2"/>
  <c r="AA9" i="2"/>
  <c r="BR9" i="2"/>
  <c r="DI9" i="2"/>
  <c r="S9" i="2"/>
  <c r="AO9" i="2"/>
  <c r="BJ9" i="2"/>
  <c r="CE9" i="2"/>
  <c r="DA9" i="2"/>
  <c r="DV9" i="2"/>
  <c r="Z9" i="2"/>
  <c r="AU9" i="2"/>
  <c r="BQ9" i="2"/>
  <c r="CL9" i="2"/>
  <c r="DG9" i="2"/>
  <c r="L9" i="2"/>
  <c r="AB9" i="2"/>
  <c r="AR9" i="2"/>
  <c r="BH9" i="2"/>
  <c r="BX9" i="2"/>
  <c r="CN9" i="2"/>
  <c r="DD9" i="2"/>
  <c r="DT9" i="2"/>
  <c r="C55" i="2"/>
  <c r="P961" i="1"/>
  <c r="C56" i="2" s="1"/>
  <c r="DR56" i="2" l="1"/>
  <c r="DB56" i="2"/>
  <c r="CL56" i="2"/>
  <c r="BV56" i="2"/>
  <c r="DJ56" i="2"/>
  <c r="CT56" i="2"/>
  <c r="CD56" i="2"/>
  <c r="BN56" i="2"/>
  <c r="DM56" i="2"/>
  <c r="CW56" i="2"/>
  <c r="DV56" i="2"/>
  <c r="DF56" i="2"/>
  <c r="CP56" i="2"/>
  <c r="BZ56" i="2"/>
  <c r="DI56" i="2"/>
  <c r="CS56" i="2"/>
  <c r="CC56" i="2"/>
  <c r="DN56" i="2"/>
  <c r="DA56" i="2"/>
  <c r="BY56" i="2"/>
  <c r="DT56" i="2"/>
  <c r="DD56" i="2"/>
  <c r="CN56" i="2"/>
  <c r="BX56" i="2"/>
  <c r="DS56" i="2"/>
  <c r="DC56" i="2"/>
  <c r="CM56" i="2"/>
  <c r="BW56" i="2"/>
  <c r="CX56" i="2"/>
  <c r="DU56" i="2"/>
  <c r="CO56" i="2"/>
  <c r="BU56" i="2"/>
  <c r="DP56" i="2"/>
  <c r="CZ56" i="2"/>
  <c r="CJ56" i="2"/>
  <c r="BT56" i="2"/>
  <c r="DO56" i="2"/>
  <c r="CY56" i="2"/>
  <c r="CI56" i="2"/>
  <c r="BS56" i="2"/>
  <c r="CH56" i="2"/>
  <c r="DQ56" i="2"/>
  <c r="CK56" i="2"/>
  <c r="BQ56" i="2"/>
  <c r="DL56" i="2"/>
  <c r="CV56" i="2"/>
  <c r="CF56" i="2"/>
  <c r="BP56" i="2"/>
  <c r="DK56" i="2"/>
  <c r="CU56" i="2"/>
  <c r="CE56" i="2"/>
  <c r="BO56" i="2"/>
  <c r="BR56" i="2"/>
  <c r="DE56" i="2"/>
  <c r="CG56" i="2"/>
  <c r="BM56" i="2"/>
  <c r="DH56" i="2"/>
  <c r="CR56" i="2"/>
  <c r="CB56" i="2"/>
  <c r="BL56" i="2"/>
  <c r="DG56" i="2"/>
  <c r="CQ56" i="2"/>
  <c r="CA56" i="2"/>
  <c r="BJ56" i="2"/>
  <c r="BE56" i="2"/>
  <c r="BC56" i="2"/>
  <c r="BF56" i="2"/>
  <c r="BH56" i="2"/>
  <c r="BD56" i="2"/>
  <c r="BK56" i="2"/>
  <c r="BI56" i="2"/>
  <c r="BG56" i="2"/>
  <c r="J55" i="2"/>
  <c r="K55" i="2"/>
  <c r="I55" i="2"/>
  <c r="H55" i="2"/>
  <c r="BA56" i="2"/>
  <c r="AW56" i="2"/>
  <c r="AS56" i="2"/>
  <c r="AO56" i="2"/>
  <c r="AK56" i="2"/>
  <c r="AG56" i="2"/>
  <c r="AC56" i="2"/>
  <c r="Y56" i="2"/>
  <c r="U56" i="2"/>
  <c r="Q56" i="2"/>
  <c r="M56" i="2"/>
  <c r="I56" i="2"/>
  <c r="AZ56" i="2"/>
  <c r="AV56" i="2"/>
  <c r="AR56" i="2"/>
  <c r="AN56" i="2"/>
  <c r="AJ56" i="2"/>
  <c r="AF56" i="2"/>
  <c r="AB56" i="2"/>
  <c r="X56" i="2"/>
  <c r="T56" i="2"/>
  <c r="P56" i="2"/>
  <c r="L56" i="2"/>
  <c r="H56" i="2"/>
  <c r="AY56" i="2"/>
  <c r="AU56" i="2"/>
  <c r="AQ56" i="2"/>
  <c r="AM56" i="2"/>
  <c r="AI56" i="2"/>
  <c r="AE56" i="2"/>
  <c r="AA56" i="2"/>
  <c r="W56" i="2"/>
  <c r="S56" i="2"/>
  <c r="O56" i="2"/>
  <c r="K56" i="2"/>
  <c r="BB56" i="2"/>
  <c r="AX56" i="2"/>
  <c r="AT56" i="2"/>
  <c r="AP56" i="2"/>
  <c r="AL56" i="2"/>
  <c r="AH56" i="2"/>
  <c r="AD56" i="2"/>
  <c r="Z56" i="2"/>
  <c r="V56" i="2"/>
  <c r="R56" i="2"/>
  <c r="N56" i="2"/>
  <c r="J56" i="2"/>
  <c r="B70" i="2" l="1"/>
  <c r="F70" i="2" s="1"/>
  <c r="B26" i="2"/>
  <c r="F26" i="2" s="1"/>
  <c r="B23" i="2"/>
  <c r="F23" i="2" s="1"/>
  <c r="B36" i="2"/>
  <c r="F36" i="2" s="1"/>
  <c r="C34" i="2"/>
  <c r="C19" i="2"/>
  <c r="B38" i="2"/>
  <c r="F38" i="2" s="1"/>
  <c r="DU19" i="2" l="1"/>
  <c r="DE19" i="2"/>
  <c r="CO19" i="2"/>
  <c r="BY19" i="2"/>
  <c r="DT19" i="2"/>
  <c r="DD19" i="2"/>
  <c r="CN19" i="2"/>
  <c r="BX19" i="2"/>
  <c r="DS19" i="2"/>
  <c r="DC19" i="2"/>
  <c r="CM19" i="2"/>
  <c r="BW19" i="2"/>
  <c r="DR19" i="2"/>
  <c r="DB19" i="2"/>
  <c r="CL19" i="2"/>
  <c r="BV19" i="2"/>
  <c r="DQ19" i="2"/>
  <c r="DA19" i="2"/>
  <c r="CK19" i="2"/>
  <c r="BU19" i="2"/>
  <c r="DP19" i="2"/>
  <c r="CZ19" i="2"/>
  <c r="CJ19" i="2"/>
  <c r="BT19" i="2"/>
  <c r="DO19" i="2"/>
  <c r="CY19" i="2"/>
  <c r="CI19" i="2"/>
  <c r="BS19" i="2"/>
  <c r="DN19" i="2"/>
  <c r="CX19" i="2"/>
  <c r="CH19" i="2"/>
  <c r="BR19" i="2"/>
  <c r="DM19" i="2"/>
  <c r="CW19" i="2"/>
  <c r="CG19" i="2"/>
  <c r="BQ19" i="2"/>
  <c r="DL19" i="2"/>
  <c r="CV19" i="2"/>
  <c r="CF19" i="2"/>
  <c r="BP19" i="2"/>
  <c r="DK19" i="2"/>
  <c r="CU19" i="2"/>
  <c r="CE19" i="2"/>
  <c r="BO19" i="2"/>
  <c r="DJ19" i="2"/>
  <c r="CT19" i="2"/>
  <c r="CD19" i="2"/>
  <c r="BN19" i="2"/>
  <c r="DI19" i="2"/>
  <c r="CS19" i="2"/>
  <c r="CC19" i="2"/>
  <c r="BM19" i="2"/>
  <c r="DH19" i="2"/>
  <c r="CR19" i="2"/>
  <c r="CB19" i="2"/>
  <c r="BL19" i="2"/>
  <c r="DG19" i="2"/>
  <c r="CQ19" i="2"/>
  <c r="CA19" i="2"/>
  <c r="DV19" i="2"/>
  <c r="DF19" i="2"/>
  <c r="CP19" i="2"/>
  <c r="BZ19" i="2"/>
  <c r="DL34" i="2"/>
  <c r="CV34" i="2"/>
  <c r="DK34" i="2"/>
  <c r="CU34" i="2"/>
  <c r="DJ34" i="2"/>
  <c r="DQ34" i="2"/>
  <c r="DA34" i="2"/>
  <c r="CL34" i="2"/>
  <c r="BV34" i="2"/>
  <c r="CO34" i="2"/>
  <c r="BY34" i="2"/>
  <c r="CT34" i="2"/>
  <c r="CB34" i="2"/>
  <c r="BL34" i="2"/>
  <c r="CE34" i="2"/>
  <c r="BO34" i="2"/>
  <c r="DH34" i="2"/>
  <c r="CR34" i="2"/>
  <c r="DG34" i="2"/>
  <c r="DV34" i="2"/>
  <c r="DF34" i="2"/>
  <c r="DM34" i="2"/>
  <c r="CW34" i="2"/>
  <c r="CH34" i="2"/>
  <c r="BR34" i="2"/>
  <c r="CK34" i="2"/>
  <c r="BU34" i="2"/>
  <c r="CN34" i="2"/>
  <c r="BX34" i="2"/>
  <c r="CQ34" i="2"/>
  <c r="CA34" i="2"/>
  <c r="CZ34" i="2"/>
  <c r="CY34" i="2"/>
  <c r="DU34" i="2"/>
  <c r="CP34" i="2"/>
  <c r="CX34" i="2"/>
  <c r="BM34" i="2"/>
  <c r="BP34" i="2"/>
  <c r="BS34" i="2"/>
  <c r="DT34" i="2"/>
  <c r="DD34" i="2"/>
  <c r="DS34" i="2"/>
  <c r="DC34" i="2"/>
  <c r="DR34" i="2"/>
  <c r="DB34" i="2"/>
  <c r="DI34" i="2"/>
  <c r="CS34" i="2"/>
  <c r="CD34" i="2"/>
  <c r="BN34" i="2"/>
  <c r="CG34" i="2"/>
  <c r="BQ34" i="2"/>
  <c r="CJ34" i="2"/>
  <c r="BT34" i="2"/>
  <c r="CM34" i="2"/>
  <c r="BW34" i="2"/>
  <c r="DP34" i="2"/>
  <c r="DO34" i="2"/>
  <c r="DN34" i="2"/>
  <c r="DE34" i="2"/>
  <c r="BZ34" i="2"/>
  <c r="CC34" i="2"/>
  <c r="CF34" i="2"/>
  <c r="CI34" i="2"/>
  <c r="BF34" i="2"/>
  <c r="BG34" i="2"/>
  <c r="BH34" i="2"/>
  <c r="BC34" i="2"/>
  <c r="BI34" i="2"/>
  <c r="BD34" i="2"/>
  <c r="BJ34" i="2"/>
  <c r="BE34" i="2"/>
  <c r="BK34" i="2"/>
  <c r="BI19" i="2"/>
  <c r="BG19" i="2"/>
  <c r="BE19" i="2"/>
  <c r="BC19" i="2"/>
  <c r="BH19" i="2"/>
  <c r="BJ19" i="2"/>
  <c r="BD19" i="2"/>
  <c r="BK19" i="2"/>
  <c r="BF19" i="2"/>
  <c r="AY34" i="2"/>
  <c r="AU34" i="2"/>
  <c r="AQ34" i="2"/>
  <c r="AM34" i="2"/>
  <c r="AI34" i="2"/>
  <c r="AE34" i="2"/>
  <c r="AA34" i="2"/>
  <c r="W34" i="2"/>
  <c r="S34" i="2"/>
  <c r="BB34" i="2"/>
  <c r="AX34" i="2"/>
  <c r="AT34" i="2"/>
  <c r="AP34" i="2"/>
  <c r="AL34" i="2"/>
  <c r="AH34" i="2"/>
  <c r="AD34" i="2"/>
  <c r="Z34" i="2"/>
  <c r="V34" i="2"/>
  <c r="BA34" i="2"/>
  <c r="AW34" i="2"/>
  <c r="AS34" i="2"/>
  <c r="AO34" i="2"/>
  <c r="AK34" i="2"/>
  <c r="AG34" i="2"/>
  <c r="AC34" i="2"/>
  <c r="Y34" i="2"/>
  <c r="U34" i="2"/>
  <c r="AN34" i="2"/>
  <c r="X34" i="2"/>
  <c r="AZ34" i="2"/>
  <c r="AJ34" i="2"/>
  <c r="T34" i="2"/>
  <c r="AV34" i="2"/>
  <c r="AF34" i="2"/>
  <c r="AR34" i="2"/>
  <c r="AB34" i="2"/>
  <c r="BA19" i="2"/>
  <c r="AW19" i="2"/>
  <c r="AS19" i="2"/>
  <c r="AO19" i="2"/>
  <c r="AK19" i="2"/>
  <c r="AG19" i="2"/>
  <c r="AC19" i="2"/>
  <c r="AZ19" i="2"/>
  <c r="AV19" i="2"/>
  <c r="AR19" i="2"/>
  <c r="AN19" i="2"/>
  <c r="AJ19" i="2"/>
  <c r="AF19" i="2"/>
  <c r="AB19" i="2"/>
  <c r="X19" i="2"/>
  <c r="AY19" i="2"/>
  <c r="AU19" i="2"/>
  <c r="AQ19" i="2"/>
  <c r="AM19" i="2"/>
  <c r="AI19" i="2"/>
  <c r="BB19" i="2"/>
  <c r="AX19" i="2"/>
  <c r="AT19" i="2"/>
  <c r="AP19" i="2"/>
  <c r="AL19" i="2"/>
  <c r="AH19" i="2"/>
  <c r="AD19" i="2"/>
  <c r="Z19" i="2"/>
  <c r="W19" i="2"/>
  <c r="S19" i="2"/>
  <c r="O19" i="2"/>
  <c r="AE19" i="2"/>
  <c r="V19" i="2"/>
  <c r="R19" i="2"/>
  <c r="N19" i="2"/>
  <c r="AA19" i="2"/>
  <c r="U19" i="2"/>
  <c r="Q19" i="2"/>
  <c r="M19" i="2"/>
  <c r="Y19" i="2"/>
  <c r="T19" i="2"/>
  <c r="P19" i="2"/>
  <c r="L19" i="2"/>
  <c r="B21" i="2"/>
  <c r="F21" i="2" s="1"/>
  <c r="B20" i="2"/>
  <c r="F20" i="2" s="1"/>
  <c r="B37" i="2"/>
  <c r="F37" i="2" s="1"/>
  <c r="C75" i="2"/>
  <c r="B59" i="2"/>
  <c r="F59" i="2" s="1"/>
  <c r="B61" i="2"/>
  <c r="F61" i="2" s="1"/>
  <c r="B73" i="2"/>
  <c r="F73" i="2" s="1"/>
  <c r="B69" i="2"/>
  <c r="F69" i="2" s="1"/>
  <c r="B67" i="2"/>
  <c r="F67" i="2" s="1"/>
  <c r="B66" i="2"/>
  <c r="F66" i="2" s="1"/>
  <c r="B71" i="2"/>
  <c r="F71" i="2" s="1"/>
  <c r="B68" i="2"/>
  <c r="F68" i="2" s="1"/>
  <c r="B72" i="2"/>
  <c r="F72" i="2" s="1"/>
  <c r="B60" i="2"/>
  <c r="F60" i="2" s="1"/>
  <c r="B74" i="2"/>
  <c r="F74" i="2" s="1"/>
  <c r="C62" i="2"/>
  <c r="C65" i="2"/>
  <c r="C63" i="2"/>
  <c r="C64" i="2"/>
  <c r="C33" i="2"/>
  <c r="C3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2" i="1"/>
  <c r="DM33" i="2" l="1"/>
  <c r="CW33" i="2"/>
  <c r="CG33" i="2"/>
  <c r="BQ33" i="2"/>
  <c r="DL33" i="2"/>
  <c r="CV33" i="2"/>
  <c r="CF33" i="2"/>
  <c r="BP33" i="2"/>
  <c r="DK33" i="2"/>
  <c r="CU33" i="2"/>
  <c r="CE33" i="2"/>
  <c r="BO33" i="2"/>
  <c r="DJ33" i="2"/>
  <c r="CT33" i="2"/>
  <c r="CD33" i="2"/>
  <c r="BN33" i="2"/>
  <c r="DI33" i="2"/>
  <c r="CS33" i="2"/>
  <c r="CC33" i="2"/>
  <c r="BM33" i="2"/>
  <c r="DH33" i="2"/>
  <c r="CR33" i="2"/>
  <c r="CB33" i="2"/>
  <c r="BL33" i="2"/>
  <c r="DG33" i="2"/>
  <c r="CQ33" i="2"/>
  <c r="CA33" i="2"/>
  <c r="DV33" i="2"/>
  <c r="DF33" i="2"/>
  <c r="CP33" i="2"/>
  <c r="BZ33" i="2"/>
  <c r="DU33" i="2"/>
  <c r="DE33" i="2"/>
  <c r="CO33" i="2"/>
  <c r="BY33" i="2"/>
  <c r="DT33" i="2"/>
  <c r="DD33" i="2"/>
  <c r="CN33" i="2"/>
  <c r="BX33" i="2"/>
  <c r="DS33" i="2"/>
  <c r="DC33" i="2"/>
  <c r="CM33" i="2"/>
  <c r="BW33" i="2"/>
  <c r="DR33" i="2"/>
  <c r="DB33" i="2"/>
  <c r="CL33" i="2"/>
  <c r="BV33" i="2"/>
  <c r="DQ33" i="2"/>
  <c r="DA33" i="2"/>
  <c r="CK33" i="2"/>
  <c r="BU33" i="2"/>
  <c r="DP33" i="2"/>
  <c r="CZ33" i="2"/>
  <c r="CJ33" i="2"/>
  <c r="BT33" i="2"/>
  <c r="DO33" i="2"/>
  <c r="CY33" i="2"/>
  <c r="CI33" i="2"/>
  <c r="BS33" i="2"/>
  <c r="DN33" i="2"/>
  <c r="CX33" i="2"/>
  <c r="CH33" i="2"/>
  <c r="BR33" i="2"/>
  <c r="DV65" i="2"/>
  <c r="DF65" i="2"/>
  <c r="CP65" i="2"/>
  <c r="BZ65" i="2"/>
  <c r="DU65" i="2"/>
  <c r="DE65" i="2"/>
  <c r="CO65" i="2"/>
  <c r="BY65" i="2"/>
  <c r="DT65" i="2"/>
  <c r="DD65" i="2"/>
  <c r="CN65" i="2"/>
  <c r="BX65" i="2"/>
  <c r="DR65" i="2"/>
  <c r="DB65" i="2"/>
  <c r="CL65" i="2"/>
  <c r="BV65" i="2"/>
  <c r="DQ65" i="2"/>
  <c r="DA65" i="2"/>
  <c r="CK65" i="2"/>
  <c r="BU65" i="2"/>
  <c r="DP65" i="2"/>
  <c r="CZ65" i="2"/>
  <c r="DN65" i="2"/>
  <c r="CX65" i="2"/>
  <c r="CH65" i="2"/>
  <c r="BR65" i="2"/>
  <c r="DM65" i="2"/>
  <c r="CW65" i="2"/>
  <c r="CG65" i="2"/>
  <c r="CD65" i="2"/>
  <c r="CC65" i="2"/>
  <c r="DH65" i="2"/>
  <c r="CF65" i="2"/>
  <c r="BL65" i="2"/>
  <c r="DG65" i="2"/>
  <c r="CQ65" i="2"/>
  <c r="CA65" i="2"/>
  <c r="BN65" i="2"/>
  <c r="BQ65" i="2"/>
  <c r="CV65" i="2"/>
  <c r="CB65" i="2"/>
  <c r="DS65" i="2"/>
  <c r="DC65" i="2"/>
  <c r="CM65" i="2"/>
  <c r="BW65" i="2"/>
  <c r="DJ65" i="2"/>
  <c r="DI65" i="2"/>
  <c r="BM65" i="2"/>
  <c r="CR65" i="2"/>
  <c r="BT65" i="2"/>
  <c r="DO65" i="2"/>
  <c r="CY65" i="2"/>
  <c r="CI65" i="2"/>
  <c r="BS65" i="2"/>
  <c r="CT65" i="2"/>
  <c r="CS65" i="2"/>
  <c r="DL65" i="2"/>
  <c r="CJ65" i="2"/>
  <c r="BP65" i="2"/>
  <c r="DK65" i="2"/>
  <c r="CU65" i="2"/>
  <c r="CE65" i="2"/>
  <c r="BO65" i="2"/>
  <c r="DO62" i="2"/>
  <c r="CY62" i="2"/>
  <c r="DN62" i="2"/>
  <c r="CX62" i="2"/>
  <c r="CH62" i="2"/>
  <c r="BR62" i="2"/>
  <c r="DM62" i="2"/>
  <c r="CW62" i="2"/>
  <c r="CG62" i="2"/>
  <c r="BQ62" i="2"/>
  <c r="CM62" i="2"/>
  <c r="DH62" i="2"/>
  <c r="BT62" i="2"/>
  <c r="CQ62" i="2"/>
  <c r="DP62" i="2"/>
  <c r="BX62" i="2"/>
  <c r="DK62" i="2"/>
  <c r="CU62" i="2"/>
  <c r="DJ62" i="2"/>
  <c r="CT62" i="2"/>
  <c r="CD62" i="2"/>
  <c r="BN62" i="2"/>
  <c r="DI62" i="2"/>
  <c r="CS62" i="2"/>
  <c r="CC62" i="2"/>
  <c r="BM62" i="2"/>
  <c r="CE62" i="2"/>
  <c r="CR62" i="2"/>
  <c r="BL62" i="2"/>
  <c r="CI62" i="2"/>
  <c r="CZ62" i="2"/>
  <c r="BP62" i="2"/>
  <c r="DS62" i="2"/>
  <c r="DR62" i="2"/>
  <c r="CL62" i="2"/>
  <c r="DQ62" i="2"/>
  <c r="CK62" i="2"/>
  <c r="CV62" i="2"/>
  <c r="CB62" i="2"/>
  <c r="BS62" i="2"/>
  <c r="DG62" i="2"/>
  <c r="DF62" i="2"/>
  <c r="BZ62" i="2"/>
  <c r="DE62" i="2"/>
  <c r="BY62" i="2"/>
  <c r="BW62" i="2"/>
  <c r="DT62" i="2"/>
  <c r="CN62" i="2"/>
  <c r="DC62" i="2"/>
  <c r="DB62" i="2"/>
  <c r="BV62" i="2"/>
  <c r="DA62" i="2"/>
  <c r="BU62" i="2"/>
  <c r="BO62" i="2"/>
  <c r="DD62" i="2"/>
  <c r="CF62" i="2"/>
  <c r="DV62" i="2"/>
  <c r="CP62" i="2"/>
  <c r="DU62" i="2"/>
  <c r="CO62" i="2"/>
  <c r="DL62" i="2"/>
  <c r="CJ62" i="2"/>
  <c r="CA62" i="2"/>
  <c r="DQ64" i="2"/>
  <c r="DA64" i="2"/>
  <c r="CK64" i="2"/>
  <c r="BU64" i="2"/>
  <c r="DP64" i="2"/>
  <c r="CZ64" i="2"/>
  <c r="CJ64" i="2"/>
  <c r="BT64" i="2"/>
  <c r="DO64" i="2"/>
  <c r="CY64" i="2"/>
  <c r="CI64" i="2"/>
  <c r="BS64" i="2"/>
  <c r="DN64" i="2"/>
  <c r="CX64" i="2"/>
  <c r="CH64" i="2"/>
  <c r="BR64" i="2"/>
  <c r="DM64" i="2"/>
  <c r="CW64" i="2"/>
  <c r="CG64" i="2"/>
  <c r="BQ64" i="2"/>
  <c r="DL64" i="2"/>
  <c r="CV64" i="2"/>
  <c r="CF64" i="2"/>
  <c r="BP64" i="2"/>
  <c r="DK64" i="2"/>
  <c r="CU64" i="2"/>
  <c r="CE64" i="2"/>
  <c r="BO64" i="2"/>
  <c r="DJ64" i="2"/>
  <c r="CT64" i="2"/>
  <c r="CD64" i="2"/>
  <c r="BN64" i="2"/>
  <c r="DI64" i="2"/>
  <c r="CS64" i="2"/>
  <c r="CC64" i="2"/>
  <c r="BM64" i="2"/>
  <c r="DH64" i="2"/>
  <c r="CR64" i="2"/>
  <c r="CB64" i="2"/>
  <c r="BL64" i="2"/>
  <c r="DG64" i="2"/>
  <c r="CQ64" i="2"/>
  <c r="CA64" i="2"/>
  <c r="DV64" i="2"/>
  <c r="DF64" i="2"/>
  <c r="CP64" i="2"/>
  <c r="BZ64" i="2"/>
  <c r="DU64" i="2"/>
  <c r="DE64" i="2"/>
  <c r="CO64" i="2"/>
  <c r="BY64" i="2"/>
  <c r="DT64" i="2"/>
  <c r="DD64" i="2"/>
  <c r="CN64" i="2"/>
  <c r="BX64" i="2"/>
  <c r="DS64" i="2"/>
  <c r="DC64" i="2"/>
  <c r="CM64" i="2"/>
  <c r="BW64" i="2"/>
  <c r="DR64" i="2"/>
  <c r="DB64" i="2"/>
  <c r="CL64" i="2"/>
  <c r="BV64" i="2"/>
  <c r="DT32" i="2"/>
  <c r="DD32" i="2"/>
  <c r="CN32" i="2"/>
  <c r="BX32" i="2"/>
  <c r="DS32" i="2"/>
  <c r="DC32" i="2"/>
  <c r="CM32" i="2"/>
  <c r="BW32" i="2"/>
  <c r="DR32" i="2"/>
  <c r="DB32" i="2"/>
  <c r="CL32" i="2"/>
  <c r="BV32" i="2"/>
  <c r="DQ32" i="2"/>
  <c r="DA32" i="2"/>
  <c r="CK32" i="2"/>
  <c r="BU32" i="2"/>
  <c r="BQ32" i="2"/>
  <c r="DP32" i="2"/>
  <c r="CZ32" i="2"/>
  <c r="CJ32" i="2"/>
  <c r="BT32" i="2"/>
  <c r="DO32" i="2"/>
  <c r="CY32" i="2"/>
  <c r="CI32" i="2"/>
  <c r="BS32" i="2"/>
  <c r="DN32" i="2"/>
  <c r="CX32" i="2"/>
  <c r="CH32" i="2"/>
  <c r="BR32" i="2"/>
  <c r="DM32" i="2"/>
  <c r="CW32" i="2"/>
  <c r="CG32" i="2"/>
  <c r="DL32" i="2"/>
  <c r="CV32" i="2"/>
  <c r="CF32" i="2"/>
  <c r="BP32" i="2"/>
  <c r="DK32" i="2"/>
  <c r="CU32" i="2"/>
  <c r="CE32" i="2"/>
  <c r="BO32" i="2"/>
  <c r="DJ32" i="2"/>
  <c r="CT32" i="2"/>
  <c r="CD32" i="2"/>
  <c r="BN32" i="2"/>
  <c r="DI32" i="2"/>
  <c r="CS32" i="2"/>
  <c r="CC32" i="2"/>
  <c r="BM32" i="2"/>
  <c r="DH32" i="2"/>
  <c r="CR32" i="2"/>
  <c r="CB32" i="2"/>
  <c r="BL32" i="2"/>
  <c r="DG32" i="2"/>
  <c r="CQ32" i="2"/>
  <c r="CA32" i="2"/>
  <c r="DV32" i="2"/>
  <c r="DF32" i="2"/>
  <c r="CP32" i="2"/>
  <c r="BZ32" i="2"/>
  <c r="DU32" i="2"/>
  <c r="DE32" i="2"/>
  <c r="CO32" i="2"/>
  <c r="BY32" i="2"/>
  <c r="DH63" i="2"/>
  <c r="CR63" i="2"/>
  <c r="CB63" i="2"/>
  <c r="BL63" i="2"/>
  <c r="DG63" i="2"/>
  <c r="CQ63" i="2"/>
  <c r="CA63" i="2"/>
  <c r="DV63" i="2"/>
  <c r="DF63" i="2"/>
  <c r="CP63" i="2"/>
  <c r="BZ63" i="2"/>
  <c r="DU63" i="2"/>
  <c r="DE63" i="2"/>
  <c r="CO63" i="2"/>
  <c r="CK63" i="2"/>
  <c r="DT63" i="2"/>
  <c r="DD63" i="2"/>
  <c r="CN63" i="2"/>
  <c r="BX63" i="2"/>
  <c r="DS63" i="2"/>
  <c r="DC63" i="2"/>
  <c r="CM63" i="2"/>
  <c r="BW63" i="2"/>
  <c r="DR63" i="2"/>
  <c r="DB63" i="2"/>
  <c r="CL63" i="2"/>
  <c r="BV63" i="2"/>
  <c r="DQ63" i="2"/>
  <c r="DA63" i="2"/>
  <c r="CC63" i="2"/>
  <c r="BU63" i="2"/>
  <c r="DP63" i="2"/>
  <c r="CZ63" i="2"/>
  <c r="CJ63" i="2"/>
  <c r="BT63" i="2"/>
  <c r="DO63" i="2"/>
  <c r="CY63" i="2"/>
  <c r="CI63" i="2"/>
  <c r="BS63" i="2"/>
  <c r="DN63" i="2"/>
  <c r="CX63" i="2"/>
  <c r="CH63" i="2"/>
  <c r="BR63" i="2"/>
  <c r="DM63" i="2"/>
  <c r="CW63" i="2"/>
  <c r="BM63" i="2"/>
  <c r="CG63" i="2"/>
  <c r="DL63" i="2"/>
  <c r="CV63" i="2"/>
  <c r="CF63" i="2"/>
  <c r="BP63" i="2"/>
  <c r="DK63" i="2"/>
  <c r="CU63" i="2"/>
  <c r="CE63" i="2"/>
  <c r="BO63" i="2"/>
  <c r="DJ63" i="2"/>
  <c r="CT63" i="2"/>
  <c r="CD63" i="2"/>
  <c r="BN63" i="2"/>
  <c r="DI63" i="2"/>
  <c r="CS63" i="2"/>
  <c r="BY63" i="2"/>
  <c r="BQ63" i="2"/>
  <c r="DT75" i="2"/>
  <c r="DD75" i="2"/>
  <c r="CN75" i="2"/>
  <c r="BX75" i="2"/>
  <c r="DS75" i="2"/>
  <c r="DC75" i="2"/>
  <c r="CM75" i="2"/>
  <c r="BW75" i="2"/>
  <c r="DR75" i="2"/>
  <c r="DB75" i="2"/>
  <c r="CL75" i="2"/>
  <c r="BV75" i="2"/>
  <c r="DU75" i="2"/>
  <c r="DE75" i="2"/>
  <c r="CO75" i="2"/>
  <c r="BY75" i="2"/>
  <c r="DP75" i="2"/>
  <c r="CZ75" i="2"/>
  <c r="CJ75" i="2"/>
  <c r="BT75" i="2"/>
  <c r="DO75" i="2"/>
  <c r="CY75" i="2"/>
  <c r="CI75" i="2"/>
  <c r="BS75" i="2"/>
  <c r="DN75" i="2"/>
  <c r="CX75" i="2"/>
  <c r="CH75" i="2"/>
  <c r="BR75" i="2"/>
  <c r="DQ75" i="2"/>
  <c r="DA75" i="2"/>
  <c r="CK75" i="2"/>
  <c r="BU75" i="2"/>
  <c r="DL75" i="2"/>
  <c r="CV75" i="2"/>
  <c r="CF75" i="2"/>
  <c r="BP75" i="2"/>
  <c r="DK75" i="2"/>
  <c r="CU75" i="2"/>
  <c r="CE75" i="2"/>
  <c r="BO75" i="2"/>
  <c r="DJ75" i="2"/>
  <c r="CT75" i="2"/>
  <c r="CD75" i="2"/>
  <c r="BN75" i="2"/>
  <c r="DM75" i="2"/>
  <c r="CW75" i="2"/>
  <c r="CG75" i="2"/>
  <c r="BQ75" i="2"/>
  <c r="DH75" i="2"/>
  <c r="CR75" i="2"/>
  <c r="CB75" i="2"/>
  <c r="BL75" i="2"/>
  <c r="DG75" i="2"/>
  <c r="CQ75" i="2"/>
  <c r="CA75" i="2"/>
  <c r="DV75" i="2"/>
  <c r="DF75" i="2"/>
  <c r="CP75" i="2"/>
  <c r="BZ75" i="2"/>
  <c r="DI75" i="2"/>
  <c r="CS75" i="2"/>
  <c r="CC75" i="2"/>
  <c r="BM75" i="2"/>
  <c r="DS31" i="2"/>
  <c r="DC31" i="2"/>
  <c r="CM31" i="2"/>
  <c r="BW31" i="2"/>
  <c r="DR31" i="2"/>
  <c r="DB31" i="2"/>
  <c r="CL31" i="2"/>
  <c r="BV31" i="2"/>
  <c r="DQ31" i="2"/>
  <c r="DA31" i="2"/>
  <c r="CK31" i="2"/>
  <c r="BU31" i="2"/>
  <c r="DP31" i="2"/>
  <c r="CZ31" i="2"/>
  <c r="CJ31" i="2"/>
  <c r="BT31" i="2"/>
  <c r="DO31" i="2"/>
  <c r="CY31" i="2"/>
  <c r="CI31" i="2"/>
  <c r="BS31" i="2"/>
  <c r="DN31" i="2"/>
  <c r="CX31" i="2"/>
  <c r="CH31" i="2"/>
  <c r="BR31" i="2"/>
  <c r="DM31" i="2"/>
  <c r="CW31" i="2"/>
  <c r="CG31" i="2"/>
  <c r="BQ31" i="2"/>
  <c r="DL31" i="2"/>
  <c r="CV31" i="2"/>
  <c r="CF31" i="2"/>
  <c r="BP31" i="2"/>
  <c r="DK31" i="2"/>
  <c r="CU31" i="2"/>
  <c r="CE31" i="2"/>
  <c r="BO31" i="2"/>
  <c r="DJ31" i="2"/>
  <c r="CT31" i="2"/>
  <c r="CD31" i="2"/>
  <c r="BN31" i="2"/>
  <c r="DI31" i="2"/>
  <c r="CS31" i="2"/>
  <c r="CC31" i="2"/>
  <c r="BM31" i="2"/>
  <c r="DH31" i="2"/>
  <c r="CR31" i="2"/>
  <c r="CB31" i="2"/>
  <c r="BL31" i="2"/>
  <c r="DG31" i="2"/>
  <c r="CQ31" i="2"/>
  <c r="CA31" i="2"/>
  <c r="DV31" i="2"/>
  <c r="DF31" i="2"/>
  <c r="CP31" i="2"/>
  <c r="BZ31" i="2"/>
  <c r="DU31" i="2"/>
  <c r="DE31" i="2"/>
  <c r="CO31" i="2"/>
  <c r="BY31" i="2"/>
  <c r="DT31" i="2"/>
  <c r="DD31" i="2"/>
  <c r="CN31" i="2"/>
  <c r="BX31" i="2"/>
  <c r="BD64" i="2"/>
  <c r="BK64" i="2"/>
  <c r="BF64" i="2"/>
  <c r="BI64" i="2"/>
  <c r="BG64" i="2"/>
  <c r="BE64" i="2"/>
  <c r="BC64" i="2"/>
  <c r="BH64" i="2"/>
  <c r="BJ64" i="2"/>
  <c r="BE62" i="2"/>
  <c r="BJ62" i="2"/>
  <c r="BK62" i="2"/>
  <c r="BH62" i="2"/>
  <c r="BF62" i="2"/>
  <c r="BD62" i="2"/>
  <c r="BC62" i="2"/>
  <c r="BI62" i="2"/>
  <c r="BG62" i="2"/>
  <c r="BH32" i="2"/>
  <c r="BK32" i="2"/>
  <c r="BG32" i="2"/>
  <c r="BI32" i="2"/>
  <c r="BE32" i="2"/>
  <c r="BJ32" i="2"/>
  <c r="BC32" i="2"/>
  <c r="BD32" i="2"/>
  <c r="BF32" i="2"/>
  <c r="BH63" i="2"/>
  <c r="BJ63" i="2"/>
  <c r="BD63" i="2"/>
  <c r="BK63" i="2"/>
  <c r="BF63" i="2"/>
  <c r="BE63" i="2"/>
  <c r="BG63" i="2"/>
  <c r="BI63" i="2"/>
  <c r="BC63" i="2"/>
  <c r="BH75" i="2"/>
  <c r="BJ75" i="2"/>
  <c r="BE75" i="2"/>
  <c r="BD75" i="2"/>
  <c r="BK75" i="2"/>
  <c r="BF75" i="2"/>
  <c r="BG75" i="2"/>
  <c r="BC75" i="2"/>
  <c r="BI75" i="2"/>
  <c r="BD33" i="2"/>
  <c r="BK33" i="2"/>
  <c r="BF33" i="2"/>
  <c r="BI33" i="2"/>
  <c r="BG33" i="2"/>
  <c r="BE33" i="2"/>
  <c r="BC33" i="2"/>
  <c r="BH33" i="2"/>
  <c r="BJ33" i="2"/>
  <c r="BG31" i="2"/>
  <c r="BI31" i="2"/>
  <c r="BC31" i="2"/>
  <c r="BE31" i="2"/>
  <c r="BJ31" i="2"/>
  <c r="BH31" i="2"/>
  <c r="BK31" i="2"/>
  <c r="BF31" i="2"/>
  <c r="BD31" i="2"/>
  <c r="BI65" i="2"/>
  <c r="BG65" i="2"/>
  <c r="BE65" i="2"/>
  <c r="BC65" i="2"/>
  <c r="BJ65" i="2"/>
  <c r="BH65" i="2"/>
  <c r="BF65" i="2"/>
  <c r="BD65" i="2"/>
  <c r="BK65" i="2"/>
  <c r="BA64" i="2"/>
  <c r="AW64" i="2"/>
  <c r="AS64" i="2"/>
  <c r="AO64" i="2"/>
  <c r="AK64" i="2"/>
  <c r="AG64" i="2"/>
  <c r="AC64" i="2"/>
  <c r="Y64" i="2"/>
  <c r="U64" i="2"/>
  <c r="AZ64" i="2"/>
  <c r="AV64" i="2"/>
  <c r="AR64" i="2"/>
  <c r="AN64" i="2"/>
  <c r="AJ64" i="2"/>
  <c r="AF64" i="2"/>
  <c r="AB64" i="2"/>
  <c r="X64" i="2"/>
  <c r="T64" i="2"/>
  <c r="AY64" i="2"/>
  <c r="AU64" i="2"/>
  <c r="AQ64" i="2"/>
  <c r="AM64" i="2"/>
  <c r="AI64" i="2"/>
  <c r="AE64" i="2"/>
  <c r="AA64" i="2"/>
  <c r="W64" i="2"/>
  <c r="S64" i="2"/>
  <c r="BB64" i="2"/>
  <c r="AX64" i="2"/>
  <c r="AT64" i="2"/>
  <c r="AP64" i="2"/>
  <c r="AL64" i="2"/>
  <c r="AH64" i="2"/>
  <c r="AD64" i="2"/>
  <c r="Z64" i="2"/>
  <c r="V64" i="2"/>
  <c r="BB32" i="2"/>
  <c r="AX32" i="2"/>
  <c r="AT32" i="2"/>
  <c r="AP32" i="2"/>
  <c r="AL32" i="2"/>
  <c r="AH32" i="2"/>
  <c r="AD32" i="2"/>
  <c r="Z32" i="2"/>
  <c r="V32" i="2"/>
  <c r="BA32" i="2"/>
  <c r="AW32" i="2"/>
  <c r="AS32" i="2"/>
  <c r="AO32" i="2"/>
  <c r="AK32" i="2"/>
  <c r="AG32" i="2"/>
  <c r="AC32" i="2"/>
  <c r="Y32" i="2"/>
  <c r="U32" i="2"/>
  <c r="AZ32" i="2"/>
  <c r="AV32" i="2"/>
  <c r="AR32" i="2"/>
  <c r="AN32" i="2"/>
  <c r="AJ32" i="2"/>
  <c r="AF32" i="2"/>
  <c r="AB32" i="2"/>
  <c r="X32" i="2"/>
  <c r="T32" i="2"/>
  <c r="AY32" i="2"/>
  <c r="AU32" i="2"/>
  <c r="AQ32" i="2"/>
  <c r="AM32" i="2"/>
  <c r="AI32" i="2"/>
  <c r="AE32" i="2"/>
  <c r="AA32" i="2"/>
  <c r="W32" i="2"/>
  <c r="S32" i="2"/>
  <c r="AZ63" i="2"/>
  <c r="AV63" i="2"/>
  <c r="AR63" i="2"/>
  <c r="AN63" i="2"/>
  <c r="AJ63" i="2"/>
  <c r="AF63" i="2"/>
  <c r="AB63" i="2"/>
  <c r="X63" i="2"/>
  <c r="T63" i="2"/>
  <c r="AY63" i="2"/>
  <c r="AU63" i="2"/>
  <c r="AQ63" i="2"/>
  <c r="AM63" i="2"/>
  <c r="AI63" i="2"/>
  <c r="AE63" i="2"/>
  <c r="AA63" i="2"/>
  <c r="W63" i="2"/>
  <c r="S63" i="2"/>
  <c r="BB63" i="2"/>
  <c r="AX63" i="2"/>
  <c r="AT63" i="2"/>
  <c r="AP63" i="2"/>
  <c r="AL63" i="2"/>
  <c r="AH63" i="2"/>
  <c r="AD63" i="2"/>
  <c r="Z63" i="2"/>
  <c r="V63" i="2"/>
  <c r="BA63" i="2"/>
  <c r="AW63" i="2"/>
  <c r="AS63" i="2"/>
  <c r="AO63" i="2"/>
  <c r="AK63" i="2"/>
  <c r="AG63" i="2"/>
  <c r="AC63" i="2"/>
  <c r="Y63" i="2"/>
  <c r="U63" i="2"/>
  <c r="BB65" i="2"/>
  <c r="AX65" i="2"/>
  <c r="AT65" i="2"/>
  <c r="AP65" i="2"/>
  <c r="AL65" i="2"/>
  <c r="AH65" i="2"/>
  <c r="AD65" i="2"/>
  <c r="Z65" i="2"/>
  <c r="V65" i="2"/>
  <c r="BA65" i="2"/>
  <c r="AW65" i="2"/>
  <c r="AS65" i="2"/>
  <c r="AO65" i="2"/>
  <c r="AK65" i="2"/>
  <c r="AG65" i="2"/>
  <c r="AC65" i="2"/>
  <c r="Y65" i="2"/>
  <c r="U65" i="2"/>
  <c r="AZ65" i="2"/>
  <c r="AV65" i="2"/>
  <c r="AR65" i="2"/>
  <c r="AN65" i="2"/>
  <c r="AJ65" i="2"/>
  <c r="AF65" i="2"/>
  <c r="AB65" i="2"/>
  <c r="X65" i="2"/>
  <c r="T65" i="2"/>
  <c r="AY65" i="2"/>
  <c r="AU65" i="2"/>
  <c r="AQ65" i="2"/>
  <c r="AM65" i="2"/>
  <c r="AI65" i="2"/>
  <c r="AE65" i="2"/>
  <c r="AA65" i="2"/>
  <c r="W65" i="2"/>
  <c r="S65" i="2"/>
  <c r="AY62" i="2"/>
  <c r="AU62" i="2"/>
  <c r="AQ62" i="2"/>
  <c r="AM62" i="2"/>
  <c r="AI62" i="2"/>
  <c r="AE62" i="2"/>
  <c r="AA62" i="2"/>
  <c r="W62" i="2"/>
  <c r="S62" i="2"/>
  <c r="BB62" i="2"/>
  <c r="AX62" i="2"/>
  <c r="AT62" i="2"/>
  <c r="AP62" i="2"/>
  <c r="AL62" i="2"/>
  <c r="AH62" i="2"/>
  <c r="AD62" i="2"/>
  <c r="Z62" i="2"/>
  <c r="V62" i="2"/>
  <c r="BA62" i="2"/>
  <c r="AW62" i="2"/>
  <c r="AS62" i="2"/>
  <c r="AO62" i="2"/>
  <c r="AK62" i="2"/>
  <c r="AG62" i="2"/>
  <c r="AC62" i="2"/>
  <c r="Y62" i="2"/>
  <c r="U62" i="2"/>
  <c r="AZ62" i="2"/>
  <c r="AV62" i="2"/>
  <c r="AR62" i="2"/>
  <c r="AN62" i="2"/>
  <c r="AJ62" i="2"/>
  <c r="AF62" i="2"/>
  <c r="AB62" i="2"/>
  <c r="X62" i="2"/>
  <c r="T62" i="2"/>
  <c r="BB33" i="2"/>
  <c r="AX33" i="2"/>
  <c r="AT33" i="2"/>
  <c r="AP33" i="2"/>
  <c r="AZ33" i="2"/>
  <c r="AV33" i="2"/>
  <c r="AR33" i="2"/>
  <c r="AN33" i="2"/>
  <c r="AU33" i="2"/>
  <c r="AM33" i="2"/>
  <c r="AI33" i="2"/>
  <c r="AE33" i="2"/>
  <c r="AA33" i="2"/>
  <c r="W33" i="2"/>
  <c r="S33" i="2"/>
  <c r="BA33" i="2"/>
  <c r="AS33" i="2"/>
  <c r="AL33" i="2"/>
  <c r="AH33" i="2"/>
  <c r="AD33" i="2"/>
  <c r="Z33" i="2"/>
  <c r="V33" i="2"/>
  <c r="AY33" i="2"/>
  <c r="AQ33" i="2"/>
  <c r="AK33" i="2"/>
  <c r="AG33" i="2"/>
  <c r="AC33" i="2"/>
  <c r="Y33" i="2"/>
  <c r="U33" i="2"/>
  <c r="AW33" i="2"/>
  <c r="AO33" i="2"/>
  <c r="AJ33" i="2"/>
  <c r="AF33" i="2"/>
  <c r="AB33" i="2"/>
  <c r="X33" i="2"/>
  <c r="T33" i="2"/>
  <c r="BA31" i="2"/>
  <c r="AW31" i="2"/>
  <c r="AS31" i="2"/>
  <c r="AO31" i="2"/>
  <c r="AK31" i="2"/>
  <c r="AG31" i="2"/>
  <c r="AC31" i="2"/>
  <c r="Y31" i="2"/>
  <c r="U31" i="2"/>
  <c r="AZ31" i="2"/>
  <c r="AV31" i="2"/>
  <c r="AR31" i="2"/>
  <c r="AN31" i="2"/>
  <c r="AJ31" i="2"/>
  <c r="AF31" i="2"/>
  <c r="AB31" i="2"/>
  <c r="X31" i="2"/>
  <c r="T31" i="2"/>
  <c r="AY31" i="2"/>
  <c r="AU31" i="2"/>
  <c r="AQ31" i="2"/>
  <c r="AM31" i="2"/>
  <c r="AI31" i="2"/>
  <c r="AE31" i="2"/>
  <c r="AA31" i="2"/>
  <c r="W31" i="2"/>
  <c r="S31" i="2"/>
  <c r="BB31" i="2"/>
  <c r="AX31" i="2"/>
  <c r="AT31" i="2"/>
  <c r="AP31" i="2"/>
  <c r="AL31" i="2"/>
  <c r="AH31" i="2"/>
  <c r="AD31" i="2"/>
  <c r="Z31" i="2"/>
  <c r="V31" i="2"/>
  <c r="C49" i="2"/>
  <c r="BB75" i="2"/>
  <c r="AX75" i="2"/>
  <c r="AT75" i="2"/>
  <c r="AP75" i="2"/>
  <c r="AL75" i="2"/>
  <c r="AH75" i="2"/>
  <c r="AD75" i="2"/>
  <c r="Z75" i="2"/>
  <c r="V75" i="2"/>
  <c r="R75" i="2"/>
  <c r="N75" i="2"/>
  <c r="J75" i="2"/>
  <c r="BA75" i="2"/>
  <c r="AW75" i="2"/>
  <c r="AS75" i="2"/>
  <c r="AO75" i="2"/>
  <c r="AK75" i="2"/>
  <c r="AG75" i="2"/>
  <c r="AC75" i="2"/>
  <c r="Y75" i="2"/>
  <c r="U75" i="2"/>
  <c r="Q75" i="2"/>
  <c r="M75" i="2"/>
  <c r="I75" i="2"/>
  <c r="AZ75" i="2"/>
  <c r="AV75" i="2"/>
  <c r="AR75" i="2"/>
  <c r="AN75" i="2"/>
  <c r="AJ75" i="2"/>
  <c r="AF75" i="2"/>
  <c r="AB75" i="2"/>
  <c r="X75" i="2"/>
  <c r="T75" i="2"/>
  <c r="P75" i="2"/>
  <c r="L75" i="2"/>
  <c r="H75" i="2"/>
  <c r="AY75" i="2"/>
  <c r="AU75" i="2"/>
  <c r="AQ75" i="2"/>
  <c r="AM75" i="2"/>
  <c r="AI75" i="2"/>
  <c r="AE75" i="2"/>
  <c r="AA75" i="2"/>
  <c r="W75" i="2"/>
  <c r="S75" i="2"/>
  <c r="O75" i="2"/>
  <c r="K75" i="2"/>
  <c r="B50" i="2"/>
  <c r="F50" i="2" s="1"/>
  <c r="B45" i="2"/>
  <c r="F45" i="2" s="1"/>
  <c r="B52" i="2"/>
  <c r="F52" i="2" s="1"/>
  <c r="C43" i="2"/>
  <c r="C48" i="2"/>
  <c r="B51" i="2"/>
  <c r="F51" i="2" s="1"/>
  <c r="B46" i="2"/>
  <c r="F46" i="2" s="1"/>
  <c r="C47" i="2"/>
  <c r="B44" i="2"/>
  <c r="F44" i="2" s="1"/>
  <c r="B76" i="2"/>
  <c r="E3" i="2"/>
  <c r="F3" i="2" s="1"/>
  <c r="G3" i="2" s="1"/>
  <c r="H3" i="2" s="1"/>
  <c r="I3" i="2" s="1"/>
  <c r="J3" i="2" s="1"/>
  <c r="K3" i="2" s="1"/>
  <c r="L3" i="2" s="1"/>
  <c r="M3" i="2" s="1"/>
  <c r="N3" i="2" s="1"/>
  <c r="O3" i="2" s="1"/>
  <c r="F5" i="2"/>
  <c r="G5" i="2" s="1"/>
  <c r="H5" i="2" s="1"/>
  <c r="I5" i="2" s="1"/>
  <c r="J5" i="2" s="1"/>
  <c r="K5" i="2" s="1"/>
  <c r="L5" i="2" s="1"/>
  <c r="M5" i="2" s="1"/>
  <c r="N5" i="2" s="1"/>
  <c r="O5" i="2" s="1"/>
  <c r="F16" i="2"/>
  <c r="F8" i="2" s="1"/>
  <c r="F18" i="2"/>
  <c r="F17" i="2"/>
  <c r="B3" i="3"/>
  <c r="DH43" i="2" l="1"/>
  <c r="CR43" i="2"/>
  <c r="CB43" i="2"/>
  <c r="BL43" i="2"/>
  <c r="DG43" i="2"/>
  <c r="CQ43" i="2"/>
  <c r="CA43" i="2"/>
  <c r="DV43" i="2"/>
  <c r="DF43" i="2"/>
  <c r="CP43" i="2"/>
  <c r="BZ43" i="2"/>
  <c r="DI43" i="2"/>
  <c r="CS43" i="2"/>
  <c r="CC43" i="2"/>
  <c r="BM43" i="2"/>
  <c r="DT43" i="2"/>
  <c r="DD43" i="2"/>
  <c r="CN43" i="2"/>
  <c r="BX43" i="2"/>
  <c r="DS43" i="2"/>
  <c r="DC43" i="2"/>
  <c r="CM43" i="2"/>
  <c r="BW43" i="2"/>
  <c r="DR43" i="2"/>
  <c r="DB43" i="2"/>
  <c r="CL43" i="2"/>
  <c r="BV43" i="2"/>
  <c r="DU43" i="2"/>
  <c r="DE43" i="2"/>
  <c r="CO43" i="2"/>
  <c r="BY43" i="2"/>
  <c r="DP43" i="2"/>
  <c r="CZ43" i="2"/>
  <c r="CJ43" i="2"/>
  <c r="BT43" i="2"/>
  <c r="DO43" i="2"/>
  <c r="CY43" i="2"/>
  <c r="CI43" i="2"/>
  <c r="BS43" i="2"/>
  <c r="DN43" i="2"/>
  <c r="CX43" i="2"/>
  <c r="CH43" i="2"/>
  <c r="BR43" i="2"/>
  <c r="DQ43" i="2"/>
  <c r="DA43" i="2"/>
  <c r="CK43" i="2"/>
  <c r="BU43" i="2"/>
  <c r="DL43" i="2"/>
  <c r="CV43" i="2"/>
  <c r="CF43" i="2"/>
  <c r="BP43" i="2"/>
  <c r="DK43" i="2"/>
  <c r="CU43" i="2"/>
  <c r="CE43" i="2"/>
  <c r="BO43" i="2"/>
  <c r="DJ43" i="2"/>
  <c r="CT43" i="2"/>
  <c r="CD43" i="2"/>
  <c r="BN43" i="2"/>
  <c r="DM43" i="2"/>
  <c r="CW43" i="2"/>
  <c r="CG43" i="2"/>
  <c r="BQ43" i="2"/>
  <c r="DI47" i="2"/>
  <c r="CS47" i="2"/>
  <c r="CC47" i="2"/>
  <c r="BM47" i="2"/>
  <c r="DH47" i="2"/>
  <c r="CR47" i="2"/>
  <c r="CB47" i="2"/>
  <c r="BL47" i="2"/>
  <c r="DG47" i="2"/>
  <c r="CQ47" i="2"/>
  <c r="CA47" i="2"/>
  <c r="DV47" i="2"/>
  <c r="DF47" i="2"/>
  <c r="CP47" i="2"/>
  <c r="BZ47" i="2"/>
  <c r="DU47" i="2"/>
  <c r="DE47" i="2"/>
  <c r="CO47" i="2"/>
  <c r="BY47" i="2"/>
  <c r="DT47" i="2"/>
  <c r="DD47" i="2"/>
  <c r="CN47" i="2"/>
  <c r="BX47" i="2"/>
  <c r="DS47" i="2"/>
  <c r="DC47" i="2"/>
  <c r="CM47" i="2"/>
  <c r="BW47" i="2"/>
  <c r="DR47" i="2"/>
  <c r="DB47" i="2"/>
  <c r="CL47" i="2"/>
  <c r="BV47" i="2"/>
  <c r="DQ47" i="2"/>
  <c r="DA47" i="2"/>
  <c r="CK47" i="2"/>
  <c r="BU47" i="2"/>
  <c r="DP47" i="2"/>
  <c r="CZ47" i="2"/>
  <c r="CJ47" i="2"/>
  <c r="BT47" i="2"/>
  <c r="DO47" i="2"/>
  <c r="CY47" i="2"/>
  <c r="CI47" i="2"/>
  <c r="BS47" i="2"/>
  <c r="DN47" i="2"/>
  <c r="CX47" i="2"/>
  <c r="CH47" i="2"/>
  <c r="BR47" i="2"/>
  <c r="DM47" i="2"/>
  <c r="CW47" i="2"/>
  <c r="CG47" i="2"/>
  <c r="BQ47" i="2"/>
  <c r="DL47" i="2"/>
  <c r="CV47" i="2"/>
  <c r="CF47" i="2"/>
  <c r="BP47" i="2"/>
  <c r="DK47" i="2"/>
  <c r="CU47" i="2"/>
  <c r="CE47" i="2"/>
  <c r="BO47" i="2"/>
  <c r="DJ47" i="2"/>
  <c r="CT47" i="2"/>
  <c r="CD47" i="2"/>
  <c r="BN47" i="2"/>
  <c r="DJ48" i="2"/>
  <c r="CT48" i="2"/>
  <c r="DV48" i="2"/>
  <c r="DF48" i="2"/>
  <c r="CP48" i="2"/>
  <c r="BZ48" i="2"/>
  <c r="DU48" i="2"/>
  <c r="DE48" i="2"/>
  <c r="CO48" i="2"/>
  <c r="BY48" i="2"/>
  <c r="DT48" i="2"/>
  <c r="DD48" i="2"/>
  <c r="CN48" i="2"/>
  <c r="BX48" i="2"/>
  <c r="DS48" i="2"/>
  <c r="DC48" i="2"/>
  <c r="CM48" i="2"/>
  <c r="BW48" i="2"/>
  <c r="CX48" i="2"/>
  <c r="BR48" i="2"/>
  <c r="CW48" i="2"/>
  <c r="DR48" i="2"/>
  <c r="DB48" i="2"/>
  <c r="CL48" i="2"/>
  <c r="BV48" i="2"/>
  <c r="DQ48" i="2"/>
  <c r="DA48" i="2"/>
  <c r="CK48" i="2"/>
  <c r="BU48" i="2"/>
  <c r="DP48" i="2"/>
  <c r="CZ48" i="2"/>
  <c r="CJ48" i="2"/>
  <c r="BT48" i="2"/>
  <c r="DO48" i="2"/>
  <c r="CY48" i="2"/>
  <c r="CI48" i="2"/>
  <c r="BS48" i="2"/>
  <c r="DN48" i="2"/>
  <c r="CH48" i="2"/>
  <c r="DM48" i="2"/>
  <c r="CG48" i="2"/>
  <c r="DI48" i="2"/>
  <c r="BM48" i="2"/>
  <c r="CR48" i="2"/>
  <c r="BL48" i="2"/>
  <c r="CQ48" i="2"/>
  <c r="CS48" i="2"/>
  <c r="DL48" i="2"/>
  <c r="CF48" i="2"/>
  <c r="DK48" i="2"/>
  <c r="CE48" i="2"/>
  <c r="CD48" i="2"/>
  <c r="CC48" i="2"/>
  <c r="DH48" i="2"/>
  <c r="CB48" i="2"/>
  <c r="DG48" i="2"/>
  <c r="CA48" i="2"/>
  <c r="BN48" i="2"/>
  <c r="BQ48" i="2"/>
  <c r="CV48" i="2"/>
  <c r="BP48" i="2"/>
  <c r="CU48" i="2"/>
  <c r="BO48" i="2"/>
  <c r="DU49" i="2"/>
  <c r="DE49" i="2"/>
  <c r="CO49" i="2"/>
  <c r="BY49" i="2"/>
  <c r="DH49" i="2"/>
  <c r="CX49" i="2"/>
  <c r="CB49" i="2"/>
  <c r="DO49" i="2"/>
  <c r="CQ49" i="2"/>
  <c r="BV49" i="2"/>
  <c r="DN49" i="2"/>
  <c r="CP49" i="2"/>
  <c r="BU49" i="2"/>
  <c r="DK49" i="2"/>
  <c r="CN49" i="2"/>
  <c r="BT49" i="2"/>
  <c r="DQ49" i="2"/>
  <c r="DA49" i="2"/>
  <c r="CK49" i="2"/>
  <c r="DT49" i="2"/>
  <c r="DR49" i="2"/>
  <c r="CR49" i="2"/>
  <c r="BW49" i="2"/>
  <c r="DG49" i="2"/>
  <c r="CL49" i="2"/>
  <c r="BR49" i="2"/>
  <c r="DF49" i="2"/>
  <c r="CJ49" i="2"/>
  <c r="BQ49" i="2"/>
  <c r="DD49" i="2"/>
  <c r="CI49" i="2"/>
  <c r="BP49" i="2"/>
  <c r="DM49" i="2"/>
  <c r="CW49" i="2"/>
  <c r="CG49" i="2"/>
  <c r="DP49" i="2"/>
  <c r="DJ49" i="2"/>
  <c r="CM49" i="2"/>
  <c r="BS49" i="2"/>
  <c r="DB49" i="2"/>
  <c r="CF49" i="2"/>
  <c r="BN49" i="2"/>
  <c r="CZ49" i="2"/>
  <c r="CE49" i="2"/>
  <c r="BM49" i="2"/>
  <c r="CY49" i="2"/>
  <c r="CD49" i="2"/>
  <c r="BL49" i="2"/>
  <c r="DI49" i="2"/>
  <c r="CS49" i="2"/>
  <c r="CC49" i="2"/>
  <c r="DL49" i="2"/>
  <c r="DC49" i="2"/>
  <c r="CH49" i="2"/>
  <c r="BO49" i="2"/>
  <c r="CV49" i="2"/>
  <c r="CA49" i="2"/>
  <c r="DV49" i="2"/>
  <c r="CU49" i="2"/>
  <c r="BZ49" i="2"/>
  <c r="DS49" i="2"/>
  <c r="CT49" i="2"/>
  <c r="BX49" i="2"/>
  <c r="BI48" i="2"/>
  <c r="BG48" i="2"/>
  <c r="BE48" i="2"/>
  <c r="BC48" i="2"/>
  <c r="BJ48" i="2"/>
  <c r="BH48" i="2"/>
  <c r="BF48" i="2"/>
  <c r="BD48" i="2"/>
  <c r="BK48" i="2"/>
  <c r="BK49" i="2"/>
  <c r="BI49" i="2"/>
  <c r="BG49" i="2"/>
  <c r="BE49" i="2"/>
  <c r="BC49" i="2"/>
  <c r="BJ49" i="2"/>
  <c r="BH49" i="2"/>
  <c r="BF49" i="2"/>
  <c r="BD49" i="2"/>
  <c r="BH47" i="2"/>
  <c r="BJ47" i="2"/>
  <c r="BD47" i="2"/>
  <c r="BK47" i="2"/>
  <c r="BF47" i="2"/>
  <c r="BI47" i="2"/>
  <c r="BG47" i="2"/>
  <c r="BE47" i="2"/>
  <c r="BC47" i="2"/>
  <c r="BC43" i="2"/>
  <c r="BI43" i="2"/>
  <c r="BH43" i="2"/>
  <c r="BJ43" i="2"/>
  <c r="BE43" i="2"/>
  <c r="BD43" i="2"/>
  <c r="BK43" i="2"/>
  <c r="BF43" i="2"/>
  <c r="BG43" i="2"/>
  <c r="AZ47" i="2"/>
  <c r="AV47" i="2"/>
  <c r="AR47" i="2"/>
  <c r="AN47" i="2"/>
  <c r="AJ47" i="2"/>
  <c r="AF47" i="2"/>
  <c r="AB47" i="2"/>
  <c r="X47" i="2"/>
  <c r="T47" i="2"/>
  <c r="AY47" i="2"/>
  <c r="AU47" i="2"/>
  <c r="AQ47" i="2"/>
  <c r="AM47" i="2"/>
  <c r="AI47" i="2"/>
  <c r="AE47" i="2"/>
  <c r="AA47" i="2"/>
  <c r="W47" i="2"/>
  <c r="S47" i="2"/>
  <c r="BB47" i="2"/>
  <c r="AX47" i="2"/>
  <c r="AT47" i="2"/>
  <c r="AP47" i="2"/>
  <c r="AL47" i="2"/>
  <c r="AH47" i="2"/>
  <c r="AD47" i="2"/>
  <c r="Z47" i="2"/>
  <c r="V47" i="2"/>
  <c r="BA47" i="2"/>
  <c r="AW47" i="2"/>
  <c r="AS47" i="2"/>
  <c r="AO47" i="2"/>
  <c r="AK47" i="2"/>
  <c r="AG47" i="2"/>
  <c r="AC47" i="2"/>
  <c r="Y47" i="2"/>
  <c r="U47" i="2"/>
  <c r="BA48" i="2"/>
  <c r="AW48" i="2"/>
  <c r="AS48" i="2"/>
  <c r="AO48" i="2"/>
  <c r="AK48" i="2"/>
  <c r="AG48" i="2"/>
  <c r="AC48" i="2"/>
  <c r="Y48" i="2"/>
  <c r="U48" i="2"/>
  <c r="AZ48" i="2"/>
  <c r="AV48" i="2"/>
  <c r="AR48" i="2"/>
  <c r="AN48" i="2"/>
  <c r="AJ48" i="2"/>
  <c r="AF48" i="2"/>
  <c r="AB48" i="2"/>
  <c r="X48" i="2"/>
  <c r="T48" i="2"/>
  <c r="AY48" i="2"/>
  <c r="AU48" i="2"/>
  <c r="AQ48" i="2"/>
  <c r="AM48" i="2"/>
  <c r="AI48" i="2"/>
  <c r="AE48" i="2"/>
  <c r="AA48" i="2"/>
  <c r="W48" i="2"/>
  <c r="S48" i="2"/>
  <c r="BB48" i="2"/>
  <c r="AX48" i="2"/>
  <c r="AT48" i="2"/>
  <c r="AP48" i="2"/>
  <c r="AL48" i="2"/>
  <c r="AH48" i="2"/>
  <c r="AD48" i="2"/>
  <c r="Z48" i="2"/>
  <c r="V48" i="2"/>
  <c r="BB49" i="2"/>
  <c r="AX49" i="2"/>
  <c r="AT49" i="2"/>
  <c r="AP49" i="2"/>
  <c r="AL49" i="2"/>
  <c r="AH49" i="2"/>
  <c r="AD49" i="2"/>
  <c r="Z49" i="2"/>
  <c r="V49" i="2"/>
  <c r="BA49" i="2"/>
  <c r="AW49" i="2"/>
  <c r="AS49" i="2"/>
  <c r="AO49" i="2"/>
  <c r="AK49" i="2"/>
  <c r="AG49" i="2"/>
  <c r="AC49" i="2"/>
  <c r="Y49" i="2"/>
  <c r="U49" i="2"/>
  <c r="AZ49" i="2"/>
  <c r="AV49" i="2"/>
  <c r="AR49" i="2"/>
  <c r="AN49" i="2"/>
  <c r="AJ49" i="2"/>
  <c r="AF49" i="2"/>
  <c r="AB49" i="2"/>
  <c r="X49" i="2"/>
  <c r="T49" i="2"/>
  <c r="AY49" i="2"/>
  <c r="AU49" i="2"/>
  <c r="AQ49" i="2"/>
  <c r="AM49" i="2"/>
  <c r="AI49" i="2"/>
  <c r="AE49" i="2"/>
  <c r="AA49" i="2"/>
  <c r="W49" i="2"/>
  <c r="S49" i="2"/>
  <c r="BA43" i="2"/>
  <c r="AW43" i="2"/>
  <c r="AS43" i="2"/>
  <c r="AO43" i="2"/>
  <c r="AK43" i="2"/>
  <c r="AG43" i="2"/>
  <c r="AC43" i="2"/>
  <c r="Y43" i="2"/>
  <c r="U43" i="2"/>
  <c r="Q43" i="2"/>
  <c r="M43" i="2"/>
  <c r="I43" i="2"/>
  <c r="AZ43" i="2"/>
  <c r="AV43" i="2"/>
  <c r="AR43" i="2"/>
  <c r="AN43" i="2"/>
  <c r="AJ43" i="2"/>
  <c r="AF43" i="2"/>
  <c r="AB43" i="2"/>
  <c r="X43" i="2"/>
  <c r="T43" i="2"/>
  <c r="P43" i="2"/>
  <c r="L43" i="2"/>
  <c r="H43" i="2"/>
  <c r="AY43" i="2"/>
  <c r="AU43" i="2"/>
  <c r="AQ43" i="2"/>
  <c r="AM43" i="2"/>
  <c r="AI43" i="2"/>
  <c r="AE43" i="2"/>
  <c r="AA43" i="2"/>
  <c r="W43" i="2"/>
  <c r="S43" i="2"/>
  <c r="O43" i="2"/>
  <c r="K43" i="2"/>
  <c r="BB43" i="2"/>
  <c r="AX43" i="2"/>
  <c r="AT43" i="2"/>
  <c r="AP43" i="2"/>
  <c r="AL43" i="2"/>
  <c r="AH43" i="2"/>
  <c r="AD43" i="2"/>
  <c r="Z43" i="2"/>
  <c r="V43" i="2"/>
  <c r="R43" i="2"/>
  <c r="N43" i="2"/>
  <c r="J43" i="2"/>
  <c r="E13" i="2"/>
  <c r="G16" i="2"/>
  <c r="G88" i="2" l="1"/>
  <c r="G53" i="2"/>
  <c r="G58" i="2"/>
  <c r="G42" i="2"/>
  <c r="G18" i="2"/>
  <c r="G17" i="2"/>
  <c r="G99" i="2"/>
  <c r="G100" i="2"/>
  <c r="G101" i="2"/>
  <c r="G97" i="2"/>
  <c r="G98" i="2"/>
  <c r="G94" i="2"/>
  <c r="G93" i="2"/>
  <c r="G95" i="2"/>
  <c r="G96" i="2"/>
  <c r="G92" i="2"/>
  <c r="G8" i="2"/>
  <c r="F13" i="2"/>
  <c r="H16" i="2"/>
  <c r="G12" i="2" l="1"/>
  <c r="G11" i="2"/>
  <c r="H88" i="2"/>
  <c r="H58" i="2"/>
  <c r="H42" i="2"/>
  <c r="H53" i="2"/>
  <c r="H18" i="2"/>
  <c r="H17" i="2"/>
  <c r="H93" i="2"/>
  <c r="H92" i="2"/>
  <c r="H99" i="2"/>
  <c r="H94" i="2"/>
  <c r="H101" i="2"/>
  <c r="H95" i="2"/>
  <c r="H97" i="2"/>
  <c r="H98" i="2"/>
  <c r="H100" i="2"/>
  <c r="H96" i="2"/>
  <c r="H8" i="2"/>
  <c r="G13" i="2"/>
  <c r="I16" i="2"/>
  <c r="H12" i="2" l="1"/>
  <c r="G10" i="2"/>
  <c r="H11" i="2"/>
  <c r="I88" i="2"/>
  <c r="I58" i="2"/>
  <c r="I53" i="2"/>
  <c r="I42" i="2"/>
  <c r="I18" i="2"/>
  <c r="I17" i="2"/>
  <c r="I93" i="2"/>
  <c r="I92" i="2"/>
  <c r="I101" i="2"/>
  <c r="I95" i="2"/>
  <c r="I97" i="2"/>
  <c r="I98" i="2"/>
  <c r="I100" i="2"/>
  <c r="I94" i="2"/>
  <c r="I99" i="2"/>
  <c r="I96" i="2"/>
  <c r="I8" i="2"/>
  <c r="J16" i="2"/>
  <c r="H13" i="2"/>
  <c r="I12" i="2" l="1"/>
  <c r="H10" i="2"/>
  <c r="I11" i="2"/>
  <c r="J88" i="2"/>
  <c r="J58" i="2"/>
  <c r="J53" i="2"/>
  <c r="J42" i="2"/>
  <c r="J18" i="2"/>
  <c r="J17" i="2"/>
  <c r="J93" i="2"/>
  <c r="J92" i="2"/>
  <c r="J97" i="2"/>
  <c r="J98" i="2"/>
  <c r="J100" i="2"/>
  <c r="J94" i="2"/>
  <c r="J99" i="2"/>
  <c r="J101" i="2"/>
  <c r="J95" i="2"/>
  <c r="J96" i="2"/>
  <c r="J8" i="2"/>
  <c r="K16" i="2"/>
  <c r="I13" i="2"/>
  <c r="J12" i="2" l="1"/>
  <c r="I10" i="2"/>
  <c r="J11" i="2"/>
  <c r="K88" i="2"/>
  <c r="K58" i="2"/>
  <c r="K53" i="2"/>
  <c r="K42" i="2"/>
  <c r="K18" i="2"/>
  <c r="K17" i="2"/>
  <c r="K93" i="2"/>
  <c r="K92" i="2"/>
  <c r="K100" i="2"/>
  <c r="K94" i="2"/>
  <c r="K99" i="2"/>
  <c r="K101" i="2"/>
  <c r="K95" i="2"/>
  <c r="K97" i="2"/>
  <c r="K98" i="2"/>
  <c r="K96" i="2"/>
  <c r="K8" i="2"/>
  <c r="L16" i="2"/>
  <c r="J13" i="2"/>
  <c r="K12" i="2" l="1"/>
  <c r="J10" i="2"/>
  <c r="K11" i="2"/>
  <c r="L88" i="2"/>
  <c r="L42" i="2"/>
  <c r="L53" i="2"/>
  <c r="L58" i="2"/>
  <c r="L18" i="2"/>
  <c r="L17" i="2"/>
  <c r="L93" i="2"/>
  <c r="L92" i="2"/>
  <c r="L101" i="2"/>
  <c r="L95" i="2"/>
  <c r="L97" i="2"/>
  <c r="L98" i="2"/>
  <c r="L100" i="2"/>
  <c r="L99" i="2"/>
  <c r="L94" i="2"/>
  <c r="L96" i="2"/>
  <c r="L8" i="2"/>
  <c r="K13" i="2"/>
  <c r="M16" i="2"/>
  <c r="L12" i="2" l="1"/>
  <c r="K10" i="2"/>
  <c r="L11" i="2"/>
  <c r="M88" i="2"/>
  <c r="M58" i="2"/>
  <c r="M53" i="2"/>
  <c r="M18" i="2"/>
  <c r="M42" i="2"/>
  <c r="M17" i="2"/>
  <c r="M93" i="2"/>
  <c r="M92" i="2"/>
  <c r="M97" i="2"/>
  <c r="M98" i="2"/>
  <c r="M100" i="2"/>
  <c r="M94" i="2"/>
  <c r="M99" i="2"/>
  <c r="M101" i="2"/>
  <c r="M95" i="2"/>
  <c r="M96" i="2"/>
  <c r="M8" i="2"/>
  <c r="N16" i="2"/>
  <c r="L13" i="2"/>
  <c r="L10" i="2" l="1"/>
  <c r="M12" i="2"/>
  <c r="M11" i="2"/>
  <c r="N88" i="2"/>
  <c r="N58" i="2"/>
  <c r="N53" i="2"/>
  <c r="N42" i="2"/>
  <c r="N18" i="2"/>
  <c r="N17" i="2"/>
  <c r="N93" i="2"/>
  <c r="N92" i="2"/>
  <c r="N100" i="2"/>
  <c r="N94" i="2"/>
  <c r="N99" i="2"/>
  <c r="N101" i="2"/>
  <c r="N95" i="2"/>
  <c r="N97" i="2"/>
  <c r="N98" i="2"/>
  <c r="N96" i="2"/>
  <c r="N8" i="2"/>
  <c r="O16" i="2"/>
  <c r="M13" i="2"/>
  <c r="M10" i="2" l="1"/>
  <c r="N12" i="2"/>
  <c r="N11" i="2"/>
  <c r="O88" i="2"/>
  <c r="O53" i="2"/>
  <c r="O58" i="2"/>
  <c r="O42" i="2"/>
  <c r="O18" i="2"/>
  <c r="O17" i="2"/>
  <c r="O93" i="2"/>
  <c r="O92" i="2"/>
  <c r="O99" i="2"/>
  <c r="O101" i="2"/>
  <c r="O95" i="2"/>
  <c r="O97" i="2"/>
  <c r="O98" i="2"/>
  <c r="O100" i="2"/>
  <c r="O94" i="2"/>
  <c r="O96" i="2"/>
  <c r="O8" i="2"/>
  <c r="P16" i="2"/>
  <c r="N13" i="2"/>
  <c r="O12" i="2" l="1"/>
  <c r="N10" i="2"/>
  <c r="O11" i="2"/>
  <c r="P88" i="2"/>
  <c r="P58" i="2"/>
  <c r="P42" i="2"/>
  <c r="P53" i="2"/>
  <c r="P18" i="2"/>
  <c r="P17" i="2"/>
  <c r="P93" i="2"/>
  <c r="P92" i="2"/>
  <c r="P97" i="2"/>
  <c r="P98" i="2"/>
  <c r="P100" i="2"/>
  <c r="P99" i="2"/>
  <c r="P94" i="2"/>
  <c r="P101" i="2"/>
  <c r="P95" i="2"/>
  <c r="P96" i="2"/>
  <c r="P8" i="2"/>
  <c r="O13" i="2"/>
  <c r="Q16" i="2"/>
  <c r="P12" i="2" l="1"/>
  <c r="O10" i="2"/>
  <c r="P11" i="2"/>
  <c r="Q88" i="2"/>
  <c r="Q53" i="2"/>
  <c r="Q58" i="2"/>
  <c r="Q18" i="2"/>
  <c r="Q42" i="2"/>
  <c r="Q17" i="2"/>
  <c r="Q93" i="2"/>
  <c r="Q92" i="2"/>
  <c r="Q100" i="2"/>
  <c r="Q94" i="2"/>
  <c r="Q99" i="2"/>
  <c r="Q101" i="2"/>
  <c r="Q95" i="2"/>
  <c r="Q97" i="2"/>
  <c r="Q98" i="2"/>
  <c r="Q96" i="2"/>
  <c r="Q8" i="2"/>
  <c r="R16" i="2"/>
  <c r="P13" i="2"/>
  <c r="Q12" i="2" l="1"/>
  <c r="P10" i="2"/>
  <c r="Q11" i="2"/>
  <c r="R88" i="2"/>
  <c r="R58" i="2"/>
  <c r="R53" i="2"/>
  <c r="R42" i="2"/>
  <c r="R18" i="2"/>
  <c r="R17" i="2"/>
  <c r="R93" i="2"/>
  <c r="R92" i="2"/>
  <c r="R99" i="2"/>
  <c r="R101" i="2"/>
  <c r="R95" i="2"/>
  <c r="R97" i="2"/>
  <c r="R98" i="2"/>
  <c r="R100" i="2"/>
  <c r="R94" i="2"/>
  <c r="R96" i="2"/>
  <c r="R8" i="2"/>
  <c r="S16" i="2"/>
  <c r="Q13" i="2"/>
  <c r="R12" i="2" l="1"/>
  <c r="Q10" i="2"/>
  <c r="R11" i="2"/>
  <c r="S88" i="2"/>
  <c r="S53" i="2"/>
  <c r="S58" i="2"/>
  <c r="S42" i="2"/>
  <c r="S18" i="2"/>
  <c r="S17" i="2"/>
  <c r="S93" i="2"/>
  <c r="S92" i="2"/>
  <c r="S101" i="2"/>
  <c r="S95" i="2"/>
  <c r="S97" i="2"/>
  <c r="S98" i="2"/>
  <c r="S100" i="2"/>
  <c r="S94" i="2"/>
  <c r="S99" i="2"/>
  <c r="S96" i="2"/>
  <c r="S8" i="2"/>
  <c r="T16" i="2"/>
  <c r="R13" i="2"/>
  <c r="S12" i="2" l="1"/>
  <c r="R10" i="2"/>
  <c r="S11" i="2"/>
  <c r="T88" i="2"/>
  <c r="T58" i="2"/>
  <c r="T53" i="2"/>
  <c r="T42" i="2"/>
  <c r="T18" i="2"/>
  <c r="T17" i="2"/>
  <c r="T93" i="2"/>
  <c r="T92" i="2"/>
  <c r="T100" i="2"/>
  <c r="T99" i="2"/>
  <c r="T94" i="2"/>
  <c r="T101" i="2"/>
  <c r="T95" i="2"/>
  <c r="T97" i="2"/>
  <c r="T98" i="2"/>
  <c r="T96" i="2"/>
  <c r="T8" i="2"/>
  <c r="S13" i="2"/>
  <c r="U16" i="2"/>
  <c r="T12" i="2" l="1"/>
  <c r="S10" i="2"/>
  <c r="T11" i="2"/>
  <c r="U88" i="2"/>
  <c r="U58" i="2"/>
  <c r="U53" i="2"/>
  <c r="U18" i="2"/>
  <c r="U42" i="2"/>
  <c r="U17" i="2"/>
  <c r="U93" i="2"/>
  <c r="U92" i="2"/>
  <c r="U99" i="2"/>
  <c r="U101" i="2"/>
  <c r="U95" i="2"/>
  <c r="U97" i="2"/>
  <c r="U98" i="2"/>
  <c r="U100" i="2"/>
  <c r="U94" i="2"/>
  <c r="U96" i="2"/>
  <c r="U8" i="2"/>
  <c r="V16" i="2"/>
  <c r="T13" i="2"/>
  <c r="U12" i="2" l="1"/>
  <c r="T10" i="2"/>
  <c r="U11" i="2"/>
  <c r="V88" i="2"/>
  <c r="V58" i="2"/>
  <c r="V53" i="2"/>
  <c r="V42" i="2"/>
  <c r="V18" i="2"/>
  <c r="V17" i="2"/>
  <c r="V93" i="2"/>
  <c r="V92" i="2"/>
  <c r="V101" i="2"/>
  <c r="V95" i="2"/>
  <c r="V97" i="2"/>
  <c r="V98" i="2"/>
  <c r="V100" i="2"/>
  <c r="V94" i="2"/>
  <c r="V99" i="2"/>
  <c r="V96" i="2"/>
  <c r="V8" i="2"/>
  <c r="W16" i="2"/>
  <c r="U13" i="2"/>
  <c r="V12" i="2" l="1"/>
  <c r="U10" i="2"/>
  <c r="V11" i="2"/>
  <c r="W88" i="2"/>
  <c r="W53" i="2"/>
  <c r="W58" i="2"/>
  <c r="W42" i="2"/>
  <c r="W18" i="2"/>
  <c r="W17" i="2"/>
  <c r="W93" i="2"/>
  <c r="W92" i="2"/>
  <c r="W97" i="2"/>
  <c r="W98" i="2"/>
  <c r="W100" i="2"/>
  <c r="W94" i="2"/>
  <c r="W99" i="2"/>
  <c r="W101" i="2"/>
  <c r="W95" i="2"/>
  <c r="W96" i="2"/>
  <c r="W8" i="2"/>
  <c r="X16" i="2"/>
  <c r="V13" i="2"/>
  <c r="W12" i="2" l="1"/>
  <c r="V10" i="2"/>
  <c r="W11" i="2"/>
  <c r="X88" i="2"/>
  <c r="X58" i="2"/>
  <c r="X42" i="2"/>
  <c r="X53" i="2"/>
  <c r="X18" i="2"/>
  <c r="X17" i="2"/>
  <c r="X93" i="2"/>
  <c r="X92" i="2"/>
  <c r="X99" i="2"/>
  <c r="X94" i="2"/>
  <c r="X101" i="2"/>
  <c r="X95" i="2"/>
  <c r="X97" i="2"/>
  <c r="X98" i="2"/>
  <c r="X100" i="2"/>
  <c r="X96" i="2"/>
  <c r="X8" i="2"/>
  <c r="W13" i="2"/>
  <c r="Y16" i="2"/>
  <c r="X12" i="2" l="1"/>
  <c r="W10" i="2"/>
  <c r="X11" i="2"/>
  <c r="Y88" i="2"/>
  <c r="Y58" i="2"/>
  <c r="Y53" i="2"/>
  <c r="Y42" i="2"/>
  <c r="Y18" i="2"/>
  <c r="Y17" i="2"/>
  <c r="Y93" i="2"/>
  <c r="Y92" i="2"/>
  <c r="Y101" i="2"/>
  <c r="Y95" i="2"/>
  <c r="Y97" i="2"/>
  <c r="Y98" i="2"/>
  <c r="Y100" i="2"/>
  <c r="Y94" i="2"/>
  <c r="Y99" i="2"/>
  <c r="Y96" i="2"/>
  <c r="Y8" i="2"/>
  <c r="Z16" i="2"/>
  <c r="X13" i="2"/>
  <c r="Y12" i="2" l="1"/>
  <c r="X10" i="2"/>
  <c r="Y11" i="2"/>
  <c r="Z88" i="2"/>
  <c r="Z58" i="2"/>
  <c r="Z53" i="2"/>
  <c r="Z42" i="2"/>
  <c r="Z18" i="2"/>
  <c r="Z17" i="2"/>
  <c r="Z93" i="2"/>
  <c r="Z92" i="2"/>
  <c r="Z97" i="2"/>
  <c r="Z98" i="2"/>
  <c r="Z100" i="2"/>
  <c r="Z94" i="2"/>
  <c r="Z99" i="2"/>
  <c r="Z101" i="2"/>
  <c r="Z95" i="2"/>
  <c r="Z96" i="2"/>
  <c r="Z8" i="2"/>
  <c r="AA16" i="2"/>
  <c r="Y13" i="2"/>
  <c r="Z12" i="2" l="1"/>
  <c r="Y10" i="2"/>
  <c r="Z11" i="2"/>
  <c r="AA88" i="2"/>
  <c r="AA58" i="2"/>
  <c r="AA53" i="2"/>
  <c r="AA42" i="2"/>
  <c r="AA18" i="2"/>
  <c r="AA17" i="2"/>
  <c r="AA93" i="2"/>
  <c r="AA92" i="2"/>
  <c r="AA100" i="2"/>
  <c r="AA94" i="2"/>
  <c r="AA99" i="2"/>
  <c r="AA101" i="2"/>
  <c r="AA95" i="2"/>
  <c r="AA97" i="2"/>
  <c r="AA98" i="2"/>
  <c r="AA96" i="2"/>
  <c r="AA8" i="2"/>
  <c r="AB16" i="2"/>
  <c r="Z13" i="2"/>
  <c r="AA12" i="2" l="1"/>
  <c r="Z10" i="2"/>
  <c r="AA11" i="2"/>
  <c r="AB88" i="2"/>
  <c r="AB58" i="2"/>
  <c r="AB42" i="2"/>
  <c r="AB53" i="2"/>
  <c r="AB18" i="2"/>
  <c r="AB17" i="2"/>
  <c r="AB93" i="2"/>
  <c r="AB92" i="2"/>
  <c r="AB101" i="2"/>
  <c r="AB95" i="2"/>
  <c r="AB97" i="2"/>
  <c r="AB98" i="2"/>
  <c r="AB100" i="2"/>
  <c r="AB99" i="2"/>
  <c r="AB94" i="2"/>
  <c r="AB96" i="2"/>
  <c r="AB8" i="2"/>
  <c r="AA13" i="2"/>
  <c r="AC16" i="2"/>
  <c r="AB12" i="2" l="1"/>
  <c r="AA10" i="2"/>
  <c r="AB11" i="2"/>
  <c r="AC88" i="2"/>
  <c r="AC58" i="2"/>
  <c r="AC53" i="2"/>
  <c r="AC18" i="2"/>
  <c r="AC42" i="2"/>
  <c r="AC17" i="2"/>
  <c r="AC93" i="2"/>
  <c r="AC92" i="2"/>
  <c r="AC97" i="2"/>
  <c r="AC98" i="2"/>
  <c r="AC100" i="2"/>
  <c r="AC94" i="2"/>
  <c r="AC99" i="2"/>
  <c r="AC101" i="2"/>
  <c r="AC95" i="2"/>
  <c r="AC96" i="2"/>
  <c r="AC8" i="2"/>
  <c r="AD16" i="2"/>
  <c r="AB13" i="2"/>
  <c r="AC12" i="2" l="1"/>
  <c r="AB10" i="2"/>
  <c r="AC11" i="2"/>
  <c r="AD88" i="2"/>
  <c r="AD58" i="2"/>
  <c r="AD53" i="2"/>
  <c r="AD42" i="2"/>
  <c r="AD18" i="2"/>
  <c r="AD17" i="2"/>
  <c r="AD93" i="2"/>
  <c r="AD92" i="2"/>
  <c r="AD100" i="2"/>
  <c r="AD94" i="2"/>
  <c r="AD99" i="2"/>
  <c r="AD101" i="2"/>
  <c r="AD95" i="2"/>
  <c r="AD97" i="2"/>
  <c r="AD98" i="2"/>
  <c r="AD96" i="2"/>
  <c r="AD8" i="2"/>
  <c r="AE16" i="2"/>
  <c r="AC13" i="2"/>
  <c r="AD12" i="2" l="1"/>
  <c r="AC10" i="2"/>
  <c r="AD11" i="2"/>
  <c r="AE88" i="2"/>
  <c r="AE53" i="2"/>
  <c r="AE58" i="2"/>
  <c r="AE42" i="2"/>
  <c r="AE18" i="2"/>
  <c r="AE17" i="2"/>
  <c r="AE93" i="2"/>
  <c r="AE92" i="2"/>
  <c r="AE99" i="2"/>
  <c r="AE101" i="2"/>
  <c r="AE95" i="2"/>
  <c r="AE97" i="2"/>
  <c r="AE98" i="2"/>
  <c r="AE100" i="2"/>
  <c r="AE94" i="2"/>
  <c r="AE96" i="2"/>
  <c r="AE8" i="2"/>
  <c r="AF16" i="2"/>
  <c r="AD13" i="2"/>
  <c r="AE12" i="2" l="1"/>
  <c r="AD10" i="2"/>
  <c r="AE11" i="2"/>
  <c r="AF88" i="2"/>
  <c r="AF58" i="2"/>
  <c r="AF42" i="2"/>
  <c r="AF53" i="2"/>
  <c r="AF18" i="2"/>
  <c r="AF17" i="2"/>
  <c r="AF93" i="2"/>
  <c r="AF92" i="2"/>
  <c r="AF97" i="2"/>
  <c r="AF98" i="2"/>
  <c r="AF100" i="2"/>
  <c r="AF99" i="2"/>
  <c r="AF94" i="2"/>
  <c r="AF101" i="2"/>
  <c r="AF95" i="2"/>
  <c r="AF96" i="2"/>
  <c r="AF8" i="2"/>
  <c r="AE13" i="2"/>
  <c r="AG16" i="2"/>
  <c r="AF12" i="2" l="1"/>
  <c r="AE10" i="2"/>
  <c r="AF11" i="2"/>
  <c r="AG88" i="2"/>
  <c r="AG53" i="2"/>
  <c r="AG58" i="2"/>
  <c r="AG18" i="2"/>
  <c r="AG42" i="2"/>
  <c r="AG17" i="2"/>
  <c r="AG93" i="2"/>
  <c r="AG92" i="2"/>
  <c r="AG100" i="2"/>
  <c r="AG94" i="2"/>
  <c r="AG99" i="2"/>
  <c r="AG101" i="2"/>
  <c r="AG95" i="2"/>
  <c r="AG97" i="2"/>
  <c r="AG98" i="2"/>
  <c r="AG96" i="2"/>
  <c r="AG8" i="2"/>
  <c r="AH16" i="2"/>
  <c r="AF13" i="2"/>
  <c r="AG12" i="2" l="1"/>
  <c r="AF10" i="2"/>
  <c r="AG11" i="2"/>
  <c r="AH88" i="2"/>
  <c r="AH58" i="2"/>
  <c r="AH53" i="2"/>
  <c r="AH42" i="2"/>
  <c r="AH18" i="2"/>
  <c r="AH17" i="2"/>
  <c r="AH93" i="2"/>
  <c r="AH92" i="2"/>
  <c r="AH99" i="2"/>
  <c r="AH101" i="2"/>
  <c r="AH95" i="2"/>
  <c r="AH97" i="2"/>
  <c r="AH98" i="2"/>
  <c r="AH100" i="2"/>
  <c r="AH94" i="2"/>
  <c r="AH96" i="2"/>
  <c r="AH8" i="2"/>
  <c r="AI16" i="2"/>
  <c r="AG13" i="2"/>
  <c r="AH12" i="2" l="1"/>
  <c r="AG10" i="2"/>
  <c r="AH11" i="2"/>
  <c r="AI88" i="2"/>
  <c r="AI53" i="2"/>
  <c r="AI58" i="2"/>
  <c r="AI42" i="2"/>
  <c r="AI18" i="2"/>
  <c r="AI17" i="2"/>
  <c r="AI93" i="2"/>
  <c r="AI92" i="2"/>
  <c r="AI101" i="2"/>
  <c r="AI95" i="2"/>
  <c r="AI97" i="2"/>
  <c r="AI98" i="2"/>
  <c r="AI100" i="2"/>
  <c r="AI94" i="2"/>
  <c r="AI99" i="2"/>
  <c r="AI96" i="2"/>
  <c r="AI8" i="2"/>
  <c r="AJ16" i="2"/>
  <c r="AH13" i="2"/>
  <c r="AI12" i="2" l="1"/>
  <c r="AH10" i="2"/>
  <c r="AI11" i="2"/>
  <c r="AJ88" i="2"/>
  <c r="AJ58" i="2"/>
  <c r="AJ53" i="2"/>
  <c r="AJ42" i="2"/>
  <c r="AJ18" i="2"/>
  <c r="AJ17" i="2"/>
  <c r="AJ93" i="2"/>
  <c r="AJ92" i="2"/>
  <c r="AJ100" i="2"/>
  <c r="AJ99" i="2"/>
  <c r="AJ94" i="2"/>
  <c r="AJ101" i="2"/>
  <c r="AJ95" i="2"/>
  <c r="AJ97" i="2"/>
  <c r="AJ98" i="2"/>
  <c r="AJ96" i="2"/>
  <c r="AJ8" i="2"/>
  <c r="AI13" i="2"/>
  <c r="AK16" i="2"/>
  <c r="AJ12" i="2" l="1"/>
  <c r="AI10" i="2"/>
  <c r="AJ11" i="2"/>
  <c r="AK88" i="2"/>
  <c r="AK58" i="2"/>
  <c r="AK53" i="2"/>
  <c r="AK18" i="2"/>
  <c r="AK42" i="2"/>
  <c r="AK17" i="2"/>
  <c r="AK93" i="2"/>
  <c r="AK92" i="2"/>
  <c r="AK99" i="2"/>
  <c r="AK101" i="2"/>
  <c r="AK95" i="2"/>
  <c r="AK97" i="2"/>
  <c r="AK98" i="2"/>
  <c r="AK100" i="2"/>
  <c r="AK94" i="2"/>
  <c r="AK96" i="2"/>
  <c r="AK8" i="2"/>
  <c r="AL16" i="2"/>
  <c r="AJ13" i="2"/>
  <c r="AK12" i="2" l="1"/>
  <c r="AJ10" i="2"/>
  <c r="AK11" i="2"/>
  <c r="AL88" i="2"/>
  <c r="AL58" i="2"/>
  <c r="AL53" i="2"/>
  <c r="AL42" i="2"/>
  <c r="AL18" i="2"/>
  <c r="AL17" i="2"/>
  <c r="AL93" i="2"/>
  <c r="AL92" i="2"/>
  <c r="AL101" i="2"/>
  <c r="AL95" i="2"/>
  <c r="AL97" i="2"/>
  <c r="AL98" i="2"/>
  <c r="AL100" i="2"/>
  <c r="AL94" i="2"/>
  <c r="AL99" i="2"/>
  <c r="AL96" i="2"/>
  <c r="AL8" i="2"/>
  <c r="AM16" i="2"/>
  <c r="AK13" i="2"/>
  <c r="AL12" i="2" l="1"/>
  <c r="AK10" i="2"/>
  <c r="AL11" i="2"/>
  <c r="AM88" i="2"/>
  <c r="AM53" i="2"/>
  <c r="AM42" i="2"/>
  <c r="AM58" i="2"/>
  <c r="AM18" i="2"/>
  <c r="AM17" i="2"/>
  <c r="AM93" i="2"/>
  <c r="AM92" i="2"/>
  <c r="AM97" i="2"/>
  <c r="AM98" i="2"/>
  <c r="AM100" i="2"/>
  <c r="AM94" i="2"/>
  <c r="AM99" i="2"/>
  <c r="AM101" i="2"/>
  <c r="AM95" i="2"/>
  <c r="AM96" i="2"/>
  <c r="AM8" i="2"/>
  <c r="AN16" i="2"/>
  <c r="AL13" i="2"/>
  <c r="AM12" i="2" l="1"/>
  <c r="AL10" i="2"/>
  <c r="AM11" i="2"/>
  <c r="AN88" i="2"/>
  <c r="AN58" i="2"/>
  <c r="AN42" i="2"/>
  <c r="AN18" i="2"/>
  <c r="AN53" i="2"/>
  <c r="AN17" i="2"/>
  <c r="AN93" i="2"/>
  <c r="AN92" i="2"/>
  <c r="AN99" i="2"/>
  <c r="AN94" i="2"/>
  <c r="AN101" i="2"/>
  <c r="AN95" i="2"/>
  <c r="AN97" i="2"/>
  <c r="AN98" i="2"/>
  <c r="AN100" i="2"/>
  <c r="AN96" i="2"/>
  <c r="AN8" i="2"/>
  <c r="AM13" i="2"/>
  <c r="AO16" i="2"/>
  <c r="AN12" i="2" l="1"/>
  <c r="AM10" i="2"/>
  <c r="AN11" i="2"/>
  <c r="AO88" i="2"/>
  <c r="AO58" i="2"/>
  <c r="AO53" i="2"/>
  <c r="AO42" i="2"/>
  <c r="AO18" i="2"/>
  <c r="AO17" i="2"/>
  <c r="AO93" i="2"/>
  <c r="AO92" i="2"/>
  <c r="AO101" i="2"/>
  <c r="AO95" i="2"/>
  <c r="AO97" i="2"/>
  <c r="AO98" i="2"/>
  <c r="AO100" i="2"/>
  <c r="AO99" i="2"/>
  <c r="AO94" i="2"/>
  <c r="AO96" i="2"/>
  <c r="AO8" i="2"/>
  <c r="AP16" i="2"/>
  <c r="AN13" i="2"/>
  <c r="AO12" i="2" l="1"/>
  <c r="AN10" i="2"/>
  <c r="AO11" i="2"/>
  <c r="AP88" i="2"/>
  <c r="AP58" i="2"/>
  <c r="AP53" i="2"/>
  <c r="AP42" i="2"/>
  <c r="AP18" i="2"/>
  <c r="AP17" i="2"/>
  <c r="AP93" i="2"/>
  <c r="AP92" i="2"/>
  <c r="AP97" i="2"/>
  <c r="AP98" i="2"/>
  <c r="AP100" i="2"/>
  <c r="AP99" i="2"/>
  <c r="AP94" i="2"/>
  <c r="AP101" i="2"/>
  <c r="AP95" i="2"/>
  <c r="AP96" i="2"/>
  <c r="AP8" i="2"/>
  <c r="AQ16" i="2"/>
  <c r="AO13" i="2"/>
  <c r="AP12" i="2" l="1"/>
  <c r="AO10" i="2"/>
  <c r="AP11" i="2"/>
  <c r="AQ88" i="2"/>
  <c r="AQ58" i="2"/>
  <c r="AQ53" i="2"/>
  <c r="AQ42" i="2"/>
  <c r="AQ18" i="2"/>
  <c r="AQ17" i="2"/>
  <c r="AQ93" i="2"/>
  <c r="AQ92" i="2"/>
  <c r="AQ100" i="2"/>
  <c r="AQ99" i="2"/>
  <c r="AQ94" i="2"/>
  <c r="AQ101" i="2"/>
  <c r="AQ95" i="2"/>
  <c r="AQ97" i="2"/>
  <c r="AQ98" i="2"/>
  <c r="AQ96" i="2"/>
  <c r="AQ8" i="2"/>
  <c r="AR16" i="2"/>
  <c r="AP13" i="2"/>
  <c r="AP10" i="2" l="1"/>
  <c r="AQ12" i="2"/>
  <c r="AQ11" i="2"/>
  <c r="AR88" i="2"/>
  <c r="AR42" i="2"/>
  <c r="AR58" i="2"/>
  <c r="AR53" i="2"/>
  <c r="AR18" i="2"/>
  <c r="AR17" i="2"/>
  <c r="AR93" i="2"/>
  <c r="AR92" i="2"/>
  <c r="AR101" i="2"/>
  <c r="AR95" i="2"/>
  <c r="AR97" i="2"/>
  <c r="AR98" i="2"/>
  <c r="AR100" i="2"/>
  <c r="AR94" i="2"/>
  <c r="AR99" i="2"/>
  <c r="AR96" i="2"/>
  <c r="AR8" i="2"/>
  <c r="AQ13" i="2"/>
  <c r="AS16" i="2"/>
  <c r="AQ10" i="2" l="1"/>
  <c r="AR12" i="2"/>
  <c r="AR11" i="2"/>
  <c r="AS88" i="2"/>
  <c r="AS58" i="2"/>
  <c r="AS53" i="2"/>
  <c r="AS18" i="2"/>
  <c r="AS42" i="2"/>
  <c r="AS17" i="2"/>
  <c r="AS93" i="2"/>
  <c r="AS92" i="2"/>
  <c r="AS97" i="2"/>
  <c r="AS98" i="2"/>
  <c r="AS100" i="2"/>
  <c r="AS99" i="2"/>
  <c r="AS94" i="2"/>
  <c r="AS101" i="2"/>
  <c r="AS95" i="2"/>
  <c r="AS96" i="2"/>
  <c r="AS8" i="2"/>
  <c r="AT16" i="2"/>
  <c r="AR13" i="2"/>
  <c r="AS12" i="2" l="1"/>
  <c r="AR10" i="2"/>
  <c r="AS11" i="2"/>
  <c r="AT88" i="2"/>
  <c r="AT58" i="2"/>
  <c r="AT53" i="2"/>
  <c r="AT42" i="2"/>
  <c r="AT18" i="2"/>
  <c r="AT17" i="2"/>
  <c r="AT93" i="2"/>
  <c r="AT92" i="2"/>
  <c r="AT100" i="2"/>
  <c r="AT99" i="2"/>
  <c r="AT101" i="2"/>
  <c r="AT95" i="2"/>
  <c r="AT94" i="2"/>
  <c r="AT97" i="2"/>
  <c r="AT98" i="2"/>
  <c r="AT96" i="2"/>
  <c r="AT8" i="2"/>
  <c r="AU16" i="2"/>
  <c r="AS13" i="2"/>
  <c r="AT12" i="2" l="1"/>
  <c r="AS10" i="2"/>
  <c r="AT11" i="2"/>
  <c r="AU88" i="2"/>
  <c r="AU53" i="2"/>
  <c r="AU58" i="2"/>
  <c r="AU42" i="2"/>
  <c r="AU18" i="2"/>
  <c r="AU17" i="2"/>
  <c r="AU93" i="2"/>
  <c r="AU92" i="2"/>
  <c r="AU99" i="2"/>
  <c r="AU101" i="2"/>
  <c r="AU95" i="2"/>
  <c r="AU97" i="2"/>
  <c r="AU98" i="2"/>
  <c r="AU94" i="2"/>
  <c r="AU100" i="2"/>
  <c r="AU96" i="2"/>
  <c r="AU8" i="2"/>
  <c r="AV16" i="2"/>
  <c r="AT13" i="2"/>
  <c r="AU12" i="2" l="1"/>
  <c r="AT10" i="2"/>
  <c r="AU11" i="2"/>
  <c r="AV88" i="2"/>
  <c r="AV58" i="2"/>
  <c r="AV42" i="2"/>
  <c r="AV53" i="2"/>
  <c r="AV18" i="2"/>
  <c r="AV17" i="2"/>
  <c r="AV93" i="2"/>
  <c r="AV92" i="2"/>
  <c r="AV97" i="2"/>
  <c r="AV98" i="2"/>
  <c r="AV100" i="2"/>
  <c r="AV94" i="2"/>
  <c r="AV99" i="2"/>
  <c r="AV101" i="2"/>
  <c r="AV95" i="2"/>
  <c r="AV96" i="2"/>
  <c r="AV8" i="2"/>
  <c r="AU13" i="2"/>
  <c r="AW16" i="2"/>
  <c r="AV12" i="2" l="1"/>
  <c r="AU10" i="2"/>
  <c r="AV11" i="2"/>
  <c r="AW88" i="2"/>
  <c r="AW53" i="2"/>
  <c r="AW58" i="2"/>
  <c r="AW18" i="2"/>
  <c r="AW42" i="2"/>
  <c r="AW17" i="2"/>
  <c r="AW93" i="2"/>
  <c r="AW92" i="2"/>
  <c r="AW100" i="2"/>
  <c r="AW99" i="2"/>
  <c r="AW94" i="2"/>
  <c r="AW101" i="2"/>
  <c r="AW95" i="2"/>
  <c r="AW97" i="2"/>
  <c r="AW98" i="2"/>
  <c r="AW96" i="2"/>
  <c r="AW8" i="2"/>
  <c r="AX16" i="2"/>
  <c r="AV13" i="2"/>
  <c r="AV10" i="2" l="1"/>
  <c r="AW12" i="2"/>
  <c r="AW11" i="2"/>
  <c r="AX88" i="2"/>
  <c r="AX58" i="2"/>
  <c r="AX53" i="2"/>
  <c r="AX42" i="2"/>
  <c r="AX18" i="2"/>
  <c r="AX17" i="2"/>
  <c r="AX93" i="2"/>
  <c r="AX92" i="2"/>
  <c r="AX99" i="2"/>
  <c r="AX101" i="2"/>
  <c r="AX95" i="2"/>
  <c r="AX94" i="2"/>
  <c r="AX97" i="2"/>
  <c r="AX98" i="2"/>
  <c r="AX100" i="2"/>
  <c r="AX96" i="2"/>
  <c r="AX8" i="2"/>
  <c r="AY16" i="2"/>
  <c r="AW13" i="2"/>
  <c r="AX12" i="2" l="1"/>
  <c r="AW10" i="2"/>
  <c r="AX11" i="2"/>
  <c r="AY88" i="2"/>
  <c r="AY53" i="2"/>
  <c r="AY58" i="2"/>
  <c r="AY42" i="2"/>
  <c r="AY18" i="2"/>
  <c r="AY17" i="2"/>
  <c r="AY93" i="2"/>
  <c r="AY92" i="2"/>
  <c r="AY101" i="2"/>
  <c r="AY95" i="2"/>
  <c r="AY97" i="2"/>
  <c r="AY98" i="2"/>
  <c r="AY94" i="2"/>
  <c r="AY100" i="2"/>
  <c r="AY99" i="2"/>
  <c r="AY96" i="2"/>
  <c r="AY8" i="2"/>
  <c r="AZ16" i="2"/>
  <c r="AX13" i="2"/>
  <c r="AY12" i="2" l="1"/>
  <c r="AX10" i="2"/>
  <c r="AY11" i="2"/>
  <c r="AZ88" i="2"/>
  <c r="AZ58" i="2"/>
  <c r="AZ53" i="2"/>
  <c r="AZ42" i="2"/>
  <c r="AZ18" i="2"/>
  <c r="AZ17" i="2"/>
  <c r="AZ93" i="2"/>
  <c r="AZ92" i="2"/>
  <c r="AZ100" i="2"/>
  <c r="AZ94" i="2"/>
  <c r="AZ99" i="2"/>
  <c r="AZ101" i="2"/>
  <c r="AZ95" i="2"/>
  <c r="AZ97" i="2"/>
  <c r="AZ98" i="2"/>
  <c r="AZ96" i="2"/>
  <c r="AZ8" i="2"/>
  <c r="AY13" i="2"/>
  <c r="BA16" i="2"/>
  <c r="AZ12" i="2" l="1"/>
  <c r="AY10" i="2"/>
  <c r="AZ11" i="2"/>
  <c r="BA88" i="2"/>
  <c r="BA58" i="2"/>
  <c r="BA53" i="2"/>
  <c r="BA18" i="2"/>
  <c r="BA42" i="2"/>
  <c r="BA17" i="2"/>
  <c r="BA93" i="2"/>
  <c r="BA92" i="2"/>
  <c r="BA99" i="2"/>
  <c r="BA94" i="2"/>
  <c r="BA101" i="2"/>
  <c r="BA95" i="2"/>
  <c r="BA97" i="2"/>
  <c r="BA98" i="2"/>
  <c r="BA100" i="2"/>
  <c r="BA96" i="2"/>
  <c r="BA8" i="2"/>
  <c r="AZ13" i="2"/>
  <c r="BB16" i="2"/>
  <c r="AZ10" i="2" l="1"/>
  <c r="BA12" i="2"/>
  <c r="BA11" i="2"/>
  <c r="BB88" i="2"/>
  <c r="BB58" i="2"/>
  <c r="BB53" i="2"/>
  <c r="BB42" i="2"/>
  <c r="BB18" i="2"/>
  <c r="BB17" i="2"/>
  <c r="BB93" i="2"/>
  <c r="BB92" i="2"/>
  <c r="BB101" i="2"/>
  <c r="BB95" i="2"/>
  <c r="BB94" i="2"/>
  <c r="BB97" i="2"/>
  <c r="BB98" i="2"/>
  <c r="BB100" i="2"/>
  <c r="BB99" i="2"/>
  <c r="BB96" i="2"/>
  <c r="BB8" i="2"/>
  <c r="BA13" i="2"/>
  <c r="BC16" i="2"/>
  <c r="BB12" i="2" l="1"/>
  <c r="BA10" i="2"/>
  <c r="BB11" i="2"/>
  <c r="BC88" i="2"/>
  <c r="BC53" i="2"/>
  <c r="BC42" i="2"/>
  <c r="BC58" i="2"/>
  <c r="BC18" i="2"/>
  <c r="BC17" i="2"/>
  <c r="BC93" i="2"/>
  <c r="BC92" i="2"/>
  <c r="BC97" i="2"/>
  <c r="BC98" i="2"/>
  <c r="BC94" i="2"/>
  <c r="BC100" i="2"/>
  <c r="BC99" i="2"/>
  <c r="BC101" i="2"/>
  <c r="BC95" i="2"/>
  <c r="BC96" i="2"/>
  <c r="BC8" i="2"/>
  <c r="BB13" i="2"/>
  <c r="BD16" i="2"/>
  <c r="BC12" i="2" l="1"/>
  <c r="BB10" i="2"/>
  <c r="BC11" i="2"/>
  <c r="BD88" i="2"/>
  <c r="BD58" i="2"/>
  <c r="BD42" i="2"/>
  <c r="BD18" i="2"/>
  <c r="BD53" i="2"/>
  <c r="BD17" i="2"/>
  <c r="BD93" i="2"/>
  <c r="BD92" i="2"/>
  <c r="BD99" i="2"/>
  <c r="BD101" i="2"/>
  <c r="BD95" i="2"/>
  <c r="BD97" i="2"/>
  <c r="BD98" i="2"/>
  <c r="BD100" i="2"/>
  <c r="BD94" i="2"/>
  <c r="BD96" i="2"/>
  <c r="BD8" i="2"/>
  <c r="BC13" i="2"/>
  <c r="BE16" i="2"/>
  <c r="BD12" i="2" l="1"/>
  <c r="BC10" i="2"/>
  <c r="BD11" i="2"/>
  <c r="BE88" i="2"/>
  <c r="BE58" i="2"/>
  <c r="BE53" i="2"/>
  <c r="BE42" i="2"/>
  <c r="BE18" i="2"/>
  <c r="BE17" i="2"/>
  <c r="BE93" i="2"/>
  <c r="BE92" i="2"/>
  <c r="BE101" i="2"/>
  <c r="BE95" i="2"/>
  <c r="BE97" i="2"/>
  <c r="BE98" i="2"/>
  <c r="BE100" i="2"/>
  <c r="BE99" i="2"/>
  <c r="BE94" i="2"/>
  <c r="BE96" i="2"/>
  <c r="BE8" i="2"/>
  <c r="BD13" i="2"/>
  <c r="BF16" i="2"/>
  <c r="BE12" i="2" l="1"/>
  <c r="BD10" i="2"/>
  <c r="BE11" i="2"/>
  <c r="BF88" i="2"/>
  <c r="BF58" i="2"/>
  <c r="BF53" i="2"/>
  <c r="BF42" i="2"/>
  <c r="BF18" i="2"/>
  <c r="BF17" i="2"/>
  <c r="BF93" i="2"/>
  <c r="BF92" i="2"/>
  <c r="BF97" i="2"/>
  <c r="BF98" i="2"/>
  <c r="BF100" i="2"/>
  <c r="BF99" i="2"/>
  <c r="BF101" i="2"/>
  <c r="BF95" i="2"/>
  <c r="BF94" i="2"/>
  <c r="BF96" i="2"/>
  <c r="BF8" i="2"/>
  <c r="BE13" i="2"/>
  <c r="BG16" i="2"/>
  <c r="BF12" i="2" l="1"/>
  <c r="BE10" i="2"/>
  <c r="BF11" i="2"/>
  <c r="BG88" i="2"/>
  <c r="BG58" i="2"/>
  <c r="BG53" i="2"/>
  <c r="BG42" i="2"/>
  <c r="BG18" i="2"/>
  <c r="BG17" i="2"/>
  <c r="BG93" i="2"/>
  <c r="BG92" i="2"/>
  <c r="BG100" i="2"/>
  <c r="BG99" i="2"/>
  <c r="BG101" i="2"/>
  <c r="BG95" i="2"/>
  <c r="BG97" i="2"/>
  <c r="BG98" i="2"/>
  <c r="BG94" i="2"/>
  <c r="BG96" i="2"/>
  <c r="BG8" i="2"/>
  <c r="BF13" i="2"/>
  <c r="BH16" i="2"/>
  <c r="BF10" i="2" l="1"/>
  <c r="BG12" i="2"/>
  <c r="BG11" i="2"/>
  <c r="BH88" i="2"/>
  <c r="BH42" i="2"/>
  <c r="BH58" i="2"/>
  <c r="BH53" i="2"/>
  <c r="BH18" i="2"/>
  <c r="BH17" i="2"/>
  <c r="BH93" i="2"/>
  <c r="BH92" i="2"/>
  <c r="BH101" i="2"/>
  <c r="BH95" i="2"/>
  <c r="BH97" i="2"/>
  <c r="BH98" i="2"/>
  <c r="BH100" i="2"/>
  <c r="BH94" i="2"/>
  <c r="BH99" i="2"/>
  <c r="BH96" i="2"/>
  <c r="BH8" i="2"/>
  <c r="BG13" i="2"/>
  <c r="BI16" i="2"/>
  <c r="BG10" i="2" l="1"/>
  <c r="BH12" i="2"/>
  <c r="BH11" i="2"/>
  <c r="BI88" i="2"/>
  <c r="BI58" i="2"/>
  <c r="BI53" i="2"/>
  <c r="BI18" i="2"/>
  <c r="BI42" i="2"/>
  <c r="BI17" i="2"/>
  <c r="BI100" i="2"/>
  <c r="BI101" i="2"/>
  <c r="BI97" i="2"/>
  <c r="BI98" i="2"/>
  <c r="BI99" i="2"/>
  <c r="BI94" i="2"/>
  <c r="BI95" i="2"/>
  <c r="BI96" i="2"/>
  <c r="BI93" i="2"/>
  <c r="BI92" i="2"/>
  <c r="BI8" i="2"/>
  <c r="BH13" i="2"/>
  <c r="BJ16" i="2"/>
  <c r="BH10" i="2" l="1"/>
  <c r="BI12" i="2"/>
  <c r="BI11" i="2"/>
  <c r="BJ88" i="2"/>
  <c r="BJ58" i="2"/>
  <c r="BJ53" i="2"/>
  <c r="BJ42" i="2"/>
  <c r="BJ18" i="2"/>
  <c r="BJ17" i="2"/>
  <c r="BJ101" i="2"/>
  <c r="BJ97" i="2"/>
  <c r="BJ98" i="2"/>
  <c r="BJ99" i="2"/>
  <c r="BJ100" i="2"/>
  <c r="BJ95" i="2"/>
  <c r="BJ96" i="2"/>
  <c r="BJ93" i="2"/>
  <c r="BJ94" i="2"/>
  <c r="BJ92" i="2"/>
  <c r="BJ8" i="2"/>
  <c r="BI13" i="2"/>
  <c r="BK16" i="2"/>
  <c r="BJ12" i="2" l="1"/>
  <c r="BI10" i="2"/>
  <c r="BJ11" i="2"/>
  <c r="BK88" i="2"/>
  <c r="BK53" i="2"/>
  <c r="BK58" i="2"/>
  <c r="BK42" i="2"/>
  <c r="BK18" i="2"/>
  <c r="BK17" i="2"/>
  <c r="BK98" i="2"/>
  <c r="BK99" i="2"/>
  <c r="BK100" i="2"/>
  <c r="BK101" i="2"/>
  <c r="BK97" i="2"/>
  <c r="BK96" i="2"/>
  <c r="BK93" i="2"/>
  <c r="BK94" i="2"/>
  <c r="BK95" i="2"/>
  <c r="BK92" i="2"/>
  <c r="BK8" i="2"/>
  <c r="BJ13" i="2"/>
  <c r="BL16" i="2"/>
  <c r="BK12" i="2" l="1"/>
  <c r="BJ10" i="2"/>
  <c r="BK11" i="2"/>
  <c r="BL88" i="2"/>
  <c r="BL58" i="2"/>
  <c r="BL42" i="2"/>
  <c r="BL53" i="2"/>
  <c r="BL18" i="2"/>
  <c r="BL17" i="2"/>
  <c r="BL99" i="2"/>
  <c r="BL100" i="2"/>
  <c r="BL101" i="2"/>
  <c r="BL97" i="2"/>
  <c r="BL98" i="2"/>
  <c r="BL93" i="2"/>
  <c r="BL94" i="2"/>
  <c r="BL95" i="2"/>
  <c r="BL96" i="2"/>
  <c r="BL92" i="2"/>
  <c r="BL8" i="2"/>
  <c r="BM16" i="2"/>
  <c r="BK13" i="2"/>
  <c r="BL12" i="2" l="1"/>
  <c r="BK10" i="2"/>
  <c r="BL11" i="2"/>
  <c r="BM88" i="2"/>
  <c r="BM53" i="2"/>
  <c r="BM58" i="2"/>
  <c r="BM18" i="2"/>
  <c r="BM42" i="2"/>
  <c r="BM17" i="2"/>
  <c r="BM100" i="2"/>
  <c r="BM101" i="2"/>
  <c r="BM97" i="2"/>
  <c r="BM98" i="2"/>
  <c r="BM99" i="2"/>
  <c r="BM94" i="2"/>
  <c r="BM95" i="2"/>
  <c r="BM96" i="2"/>
  <c r="BM93" i="2"/>
  <c r="BM92" i="2"/>
  <c r="BM8" i="2"/>
  <c r="BL13" i="2"/>
  <c r="BN16" i="2"/>
  <c r="BM12" i="2" l="1"/>
  <c r="BL10" i="2"/>
  <c r="BM11" i="2"/>
  <c r="BN88" i="2"/>
  <c r="BN58" i="2"/>
  <c r="BN53" i="2"/>
  <c r="BN42" i="2"/>
  <c r="BN18" i="2"/>
  <c r="BN17" i="2"/>
  <c r="BN101" i="2"/>
  <c r="BN97" i="2"/>
  <c r="BN98" i="2"/>
  <c r="BN99" i="2"/>
  <c r="BN100" i="2"/>
  <c r="BN95" i="2"/>
  <c r="BN96" i="2"/>
  <c r="BN93" i="2"/>
  <c r="BN94" i="2"/>
  <c r="BN92" i="2"/>
  <c r="BN8" i="2"/>
  <c r="BO16" i="2"/>
  <c r="BM13" i="2"/>
  <c r="BN12" i="2" l="1"/>
  <c r="BM10" i="2"/>
  <c r="BN11" i="2"/>
  <c r="BO88" i="2"/>
  <c r="BO53" i="2"/>
  <c r="BO58" i="2"/>
  <c r="BO42" i="2"/>
  <c r="BO18" i="2"/>
  <c r="BO17" i="2"/>
  <c r="BO98" i="2"/>
  <c r="BO99" i="2"/>
  <c r="BO100" i="2"/>
  <c r="BO101" i="2"/>
  <c r="BO97" i="2"/>
  <c r="BO96" i="2"/>
  <c r="BO93" i="2"/>
  <c r="BO94" i="2"/>
  <c r="BO95" i="2"/>
  <c r="BO92" i="2"/>
  <c r="BO8" i="2"/>
  <c r="BN13" i="2"/>
  <c r="BP16" i="2"/>
  <c r="BO12" i="2" l="1"/>
  <c r="BN10" i="2"/>
  <c r="BO11" i="2"/>
  <c r="BP88" i="2"/>
  <c r="BP58" i="2"/>
  <c r="BP53" i="2"/>
  <c r="BP42" i="2"/>
  <c r="BP18" i="2"/>
  <c r="BP17" i="2"/>
  <c r="BP99" i="2"/>
  <c r="BP100" i="2"/>
  <c r="BP101" i="2"/>
  <c r="BP97" i="2"/>
  <c r="BP98" i="2"/>
  <c r="BP93" i="2"/>
  <c r="BP94" i="2"/>
  <c r="BP95" i="2"/>
  <c r="BP96" i="2"/>
  <c r="BP92" i="2"/>
  <c r="BP8" i="2"/>
  <c r="BQ16" i="2"/>
  <c r="BO13" i="2"/>
  <c r="BP12" i="2" l="1"/>
  <c r="BO10" i="2"/>
  <c r="BP11" i="2"/>
  <c r="BQ88" i="2"/>
  <c r="BQ58" i="2"/>
  <c r="BQ53" i="2"/>
  <c r="BQ18" i="2"/>
  <c r="BQ42" i="2"/>
  <c r="BQ17" i="2"/>
  <c r="BQ100" i="2"/>
  <c r="BQ101" i="2"/>
  <c r="BQ97" i="2"/>
  <c r="BQ98" i="2"/>
  <c r="BQ99" i="2"/>
  <c r="BQ94" i="2"/>
  <c r="BQ95" i="2"/>
  <c r="BQ96" i="2"/>
  <c r="BQ93" i="2"/>
  <c r="BQ92" i="2"/>
  <c r="BQ8" i="2"/>
  <c r="BP13" i="2"/>
  <c r="BR16" i="2"/>
  <c r="BP10" i="2" l="1"/>
  <c r="BQ12" i="2"/>
  <c r="BQ11" i="2"/>
  <c r="BR88" i="2"/>
  <c r="BR58" i="2"/>
  <c r="BR53" i="2"/>
  <c r="BR42" i="2"/>
  <c r="BR18" i="2"/>
  <c r="BR17" i="2"/>
  <c r="BR101" i="2"/>
  <c r="BR97" i="2"/>
  <c r="BR98" i="2"/>
  <c r="BR99" i="2"/>
  <c r="BR100" i="2"/>
  <c r="BR95" i="2"/>
  <c r="BR96" i="2"/>
  <c r="BR93" i="2"/>
  <c r="BR94" i="2"/>
  <c r="BR92" i="2"/>
  <c r="BR8" i="2"/>
  <c r="BS16" i="2"/>
  <c r="BQ13" i="2"/>
  <c r="BQ10" i="2" l="1"/>
  <c r="BR12" i="2"/>
  <c r="BR11" i="2"/>
  <c r="BS88" i="2"/>
  <c r="BS53" i="2"/>
  <c r="BS58" i="2"/>
  <c r="BS42" i="2"/>
  <c r="BS18" i="2"/>
  <c r="BS17" i="2"/>
  <c r="BS98" i="2"/>
  <c r="BS99" i="2"/>
  <c r="BS100" i="2"/>
  <c r="BS101" i="2"/>
  <c r="BS97" i="2"/>
  <c r="BS96" i="2"/>
  <c r="BS93" i="2"/>
  <c r="BS94" i="2"/>
  <c r="BS95" i="2"/>
  <c r="BS92" i="2"/>
  <c r="BS8" i="2"/>
  <c r="BT16" i="2"/>
  <c r="BR13" i="2"/>
  <c r="BR10" i="2" l="1"/>
  <c r="BS12" i="2"/>
  <c r="BS11" i="2"/>
  <c r="BT88" i="2"/>
  <c r="BT58" i="2"/>
  <c r="BT42" i="2"/>
  <c r="BT53" i="2"/>
  <c r="BT18" i="2"/>
  <c r="BT17" i="2"/>
  <c r="BT99" i="2"/>
  <c r="BT100" i="2"/>
  <c r="BT101" i="2"/>
  <c r="BT97" i="2"/>
  <c r="BT98" i="2"/>
  <c r="BT93" i="2"/>
  <c r="BT94" i="2"/>
  <c r="BT95" i="2"/>
  <c r="BT96" i="2"/>
  <c r="BT92" i="2"/>
  <c r="BT8" i="2"/>
  <c r="BU16" i="2"/>
  <c r="BS13" i="2"/>
  <c r="BS10" i="2" l="1"/>
  <c r="BT12" i="2"/>
  <c r="BT11" i="2"/>
  <c r="BU88" i="2"/>
  <c r="BU58" i="2"/>
  <c r="BU53" i="2"/>
  <c r="BU42" i="2"/>
  <c r="BU18" i="2"/>
  <c r="BU17" i="2"/>
  <c r="BU100" i="2"/>
  <c r="BU101" i="2"/>
  <c r="BU97" i="2"/>
  <c r="BU98" i="2"/>
  <c r="BU99" i="2"/>
  <c r="BU94" i="2"/>
  <c r="BU95" i="2"/>
  <c r="BU96" i="2"/>
  <c r="BU93" i="2"/>
  <c r="BU92" i="2"/>
  <c r="BU8" i="2"/>
  <c r="BT13" i="2"/>
  <c r="BV16" i="2"/>
  <c r="BU12" i="2" l="1"/>
  <c r="BT10" i="2"/>
  <c r="BU11" i="2"/>
  <c r="BV88" i="2"/>
  <c r="BV58" i="2"/>
  <c r="BV53" i="2"/>
  <c r="BV42" i="2"/>
  <c r="BV18" i="2"/>
  <c r="BV17" i="2"/>
  <c r="BV101" i="2"/>
  <c r="BV97" i="2"/>
  <c r="BV98" i="2"/>
  <c r="BV99" i="2"/>
  <c r="BV100" i="2"/>
  <c r="BV95" i="2"/>
  <c r="BV96" i="2"/>
  <c r="BV93" i="2"/>
  <c r="BV94" i="2"/>
  <c r="BV92" i="2"/>
  <c r="BV8" i="2"/>
  <c r="BW16" i="2"/>
  <c r="BU13" i="2"/>
  <c r="BV12" i="2" l="1"/>
  <c r="BU10" i="2"/>
  <c r="BV11" i="2"/>
  <c r="BW88" i="2"/>
  <c r="BW58" i="2"/>
  <c r="BW53" i="2"/>
  <c r="BW42" i="2"/>
  <c r="BW18" i="2"/>
  <c r="BW17" i="2"/>
  <c r="BW98" i="2"/>
  <c r="BW99" i="2"/>
  <c r="BW100" i="2"/>
  <c r="BW101" i="2"/>
  <c r="BW97" i="2"/>
  <c r="BW96" i="2"/>
  <c r="BW93" i="2"/>
  <c r="BW94" i="2"/>
  <c r="BW95" i="2"/>
  <c r="BW92" i="2"/>
  <c r="BW8" i="2"/>
  <c r="BV13" i="2"/>
  <c r="BX16" i="2"/>
  <c r="BW12" i="2" l="1"/>
  <c r="BV10" i="2"/>
  <c r="BW11" i="2"/>
  <c r="BX88" i="2"/>
  <c r="BX42" i="2"/>
  <c r="BX53" i="2"/>
  <c r="BX18" i="2"/>
  <c r="BX58" i="2"/>
  <c r="BX17" i="2"/>
  <c r="BX99" i="2"/>
  <c r="BX100" i="2"/>
  <c r="BX101" i="2"/>
  <c r="BX97" i="2"/>
  <c r="BX98" i="2"/>
  <c r="BX93" i="2"/>
  <c r="BX94" i="2"/>
  <c r="BX95" i="2"/>
  <c r="BX96" i="2"/>
  <c r="BX92" i="2"/>
  <c r="BX8" i="2"/>
  <c r="BY16" i="2"/>
  <c r="BW13" i="2"/>
  <c r="BX12" i="2" l="1"/>
  <c r="BW10" i="2"/>
  <c r="BX11" i="2"/>
  <c r="BY88" i="2"/>
  <c r="BY58" i="2"/>
  <c r="BY53" i="2"/>
  <c r="BY18" i="2"/>
  <c r="BY42" i="2"/>
  <c r="BY17" i="2"/>
  <c r="BY100" i="2"/>
  <c r="BY101" i="2"/>
  <c r="BY97" i="2"/>
  <c r="BY98" i="2"/>
  <c r="BY99" i="2"/>
  <c r="BY94" i="2"/>
  <c r="BY95" i="2"/>
  <c r="BY96" i="2"/>
  <c r="BY93" i="2"/>
  <c r="BY92" i="2"/>
  <c r="BY8" i="2"/>
  <c r="BZ16" i="2"/>
  <c r="BX13" i="2"/>
  <c r="BY12" i="2" l="1"/>
  <c r="BX10" i="2"/>
  <c r="BY11" i="2"/>
  <c r="BZ88" i="2"/>
  <c r="BZ58" i="2"/>
  <c r="BZ53" i="2"/>
  <c r="BZ42" i="2"/>
  <c r="BZ18" i="2"/>
  <c r="BZ17" i="2"/>
  <c r="BZ101" i="2"/>
  <c r="BZ97" i="2"/>
  <c r="BZ98" i="2"/>
  <c r="BZ99" i="2"/>
  <c r="BZ100" i="2"/>
  <c r="BZ95" i="2"/>
  <c r="BZ96" i="2"/>
  <c r="BZ93" i="2"/>
  <c r="BZ94" i="2"/>
  <c r="BZ92" i="2"/>
  <c r="BZ8" i="2"/>
  <c r="CA16" i="2"/>
  <c r="BY13" i="2"/>
  <c r="BZ12" i="2" l="1"/>
  <c r="BY10" i="2"/>
  <c r="BZ11" i="2"/>
  <c r="CA88" i="2"/>
  <c r="CA53" i="2"/>
  <c r="CA58" i="2"/>
  <c r="CA42" i="2"/>
  <c r="CA18" i="2"/>
  <c r="CA17" i="2"/>
  <c r="CA98" i="2"/>
  <c r="CA99" i="2"/>
  <c r="CA100" i="2"/>
  <c r="CA101" i="2"/>
  <c r="CA97" i="2"/>
  <c r="CA96" i="2"/>
  <c r="CA93" i="2"/>
  <c r="CA94" i="2"/>
  <c r="CA95" i="2"/>
  <c r="CA92" i="2"/>
  <c r="CA8" i="2"/>
  <c r="CB16" i="2"/>
  <c r="BZ13" i="2"/>
  <c r="CA12" i="2" l="1"/>
  <c r="BZ10" i="2"/>
  <c r="CA11" i="2"/>
  <c r="CB88" i="2"/>
  <c r="CB58" i="2"/>
  <c r="CB42" i="2"/>
  <c r="CB53" i="2"/>
  <c r="CB18" i="2"/>
  <c r="CB17" i="2"/>
  <c r="CB99" i="2"/>
  <c r="CB100" i="2"/>
  <c r="CB101" i="2"/>
  <c r="CB97" i="2"/>
  <c r="CB98" i="2"/>
  <c r="CB93" i="2"/>
  <c r="CB94" i="2"/>
  <c r="CB95" i="2"/>
  <c r="CB96" i="2"/>
  <c r="CB92" i="2"/>
  <c r="CB8" i="2"/>
  <c r="CC16" i="2"/>
  <c r="CA13" i="2"/>
  <c r="CB12" i="2" l="1"/>
  <c r="CA10" i="2"/>
  <c r="CB11" i="2"/>
  <c r="CC88" i="2"/>
  <c r="CC53" i="2"/>
  <c r="CC58" i="2"/>
  <c r="CC18" i="2"/>
  <c r="CC42" i="2"/>
  <c r="CC17" i="2"/>
  <c r="CC100" i="2"/>
  <c r="CC101" i="2"/>
  <c r="CC97" i="2"/>
  <c r="CC98" i="2"/>
  <c r="CC99" i="2"/>
  <c r="CC94" i="2"/>
  <c r="CC95" i="2"/>
  <c r="CC96" i="2"/>
  <c r="CC93" i="2"/>
  <c r="CC92" i="2"/>
  <c r="CC8" i="2"/>
  <c r="CD16" i="2"/>
  <c r="CB13" i="2"/>
  <c r="CC12" i="2" l="1"/>
  <c r="CB10" i="2"/>
  <c r="CC11" i="2"/>
  <c r="CD88" i="2"/>
  <c r="CD58" i="2"/>
  <c r="CD53" i="2"/>
  <c r="CD42" i="2"/>
  <c r="CD18" i="2"/>
  <c r="CD17" i="2"/>
  <c r="CD101" i="2"/>
  <c r="CD97" i="2"/>
  <c r="CD98" i="2"/>
  <c r="CD99" i="2"/>
  <c r="CD100" i="2"/>
  <c r="CD95" i="2"/>
  <c r="CD96" i="2"/>
  <c r="CD93" i="2"/>
  <c r="CD94" i="2"/>
  <c r="CD92" i="2"/>
  <c r="CD8" i="2"/>
  <c r="CE16" i="2"/>
  <c r="CC13" i="2"/>
  <c r="CD12" i="2" l="1"/>
  <c r="CC10" i="2"/>
  <c r="CD11" i="2"/>
  <c r="CE88" i="2"/>
  <c r="CE53" i="2"/>
  <c r="CE58" i="2"/>
  <c r="CE42" i="2"/>
  <c r="CE18" i="2"/>
  <c r="CE17" i="2"/>
  <c r="CE98" i="2"/>
  <c r="CE99" i="2"/>
  <c r="CE100" i="2"/>
  <c r="CE101" i="2"/>
  <c r="CE97" i="2"/>
  <c r="CE96" i="2"/>
  <c r="CE93" i="2"/>
  <c r="CE94" i="2"/>
  <c r="CE95" i="2"/>
  <c r="CE92" i="2"/>
  <c r="CE8" i="2"/>
  <c r="CD13" i="2"/>
  <c r="CF16" i="2"/>
  <c r="CE12" i="2" l="1"/>
  <c r="CD10" i="2"/>
  <c r="CE11" i="2"/>
  <c r="CF88" i="2"/>
  <c r="CF58" i="2"/>
  <c r="CF53" i="2"/>
  <c r="CF42" i="2"/>
  <c r="CF18" i="2"/>
  <c r="CF17" i="2"/>
  <c r="CF99" i="2"/>
  <c r="CF100" i="2"/>
  <c r="CF101" i="2"/>
  <c r="CF97" i="2"/>
  <c r="CF98" i="2"/>
  <c r="CF93" i="2"/>
  <c r="CF94" i="2"/>
  <c r="CF95" i="2"/>
  <c r="CF96" i="2"/>
  <c r="CF92" i="2"/>
  <c r="CF8" i="2"/>
  <c r="CG16" i="2"/>
  <c r="CE13" i="2"/>
  <c r="CF12" i="2" l="1"/>
  <c r="CE10" i="2"/>
  <c r="CF11" i="2"/>
  <c r="CG88" i="2"/>
  <c r="CG58" i="2"/>
  <c r="CG53" i="2"/>
  <c r="CG18" i="2"/>
  <c r="CG42" i="2"/>
  <c r="CG17" i="2"/>
  <c r="CG100" i="2"/>
  <c r="CG101" i="2"/>
  <c r="CG97" i="2"/>
  <c r="CG98" i="2"/>
  <c r="CG99" i="2"/>
  <c r="CG94" i="2"/>
  <c r="CG95" i="2"/>
  <c r="CG96" i="2"/>
  <c r="CG93" i="2"/>
  <c r="CG92" i="2"/>
  <c r="CG8" i="2"/>
  <c r="CH16" i="2"/>
  <c r="CF13" i="2"/>
  <c r="CG12" i="2" l="1"/>
  <c r="CF10" i="2"/>
  <c r="CG11" i="2"/>
  <c r="CH88" i="2"/>
  <c r="CH58" i="2"/>
  <c r="CH53" i="2"/>
  <c r="CH42" i="2"/>
  <c r="CH18" i="2"/>
  <c r="CH17" i="2"/>
  <c r="CH101" i="2"/>
  <c r="CH97" i="2"/>
  <c r="CH98" i="2"/>
  <c r="CH99" i="2"/>
  <c r="CH100" i="2"/>
  <c r="CH95" i="2"/>
  <c r="CH96" i="2"/>
  <c r="CH93" i="2"/>
  <c r="CH94" i="2"/>
  <c r="CH92" i="2"/>
  <c r="CH8" i="2"/>
  <c r="CG13" i="2"/>
  <c r="CI16" i="2"/>
  <c r="CH12" i="2" l="1"/>
  <c r="CG10" i="2"/>
  <c r="CH11" i="2"/>
  <c r="CI88" i="2"/>
  <c r="CI53" i="2"/>
  <c r="CI58" i="2"/>
  <c r="CI42" i="2"/>
  <c r="CI18" i="2"/>
  <c r="CI17" i="2"/>
  <c r="CI98" i="2"/>
  <c r="CI99" i="2"/>
  <c r="CI100" i="2"/>
  <c r="CI101" i="2"/>
  <c r="CI97" i="2"/>
  <c r="CI96" i="2"/>
  <c r="CI93" i="2"/>
  <c r="CI94" i="2"/>
  <c r="CI95" i="2"/>
  <c r="CI92" i="2"/>
  <c r="CI8" i="2"/>
  <c r="CJ16" i="2"/>
  <c r="CH13" i="2"/>
  <c r="CI12" i="2" l="1"/>
  <c r="CH10" i="2"/>
  <c r="CI11" i="2"/>
  <c r="CJ88" i="2"/>
  <c r="CJ58" i="2"/>
  <c r="CJ42" i="2"/>
  <c r="CJ53" i="2"/>
  <c r="CJ18" i="2"/>
  <c r="CJ17" i="2"/>
  <c r="CJ99" i="2"/>
  <c r="CJ100" i="2"/>
  <c r="CJ101" i="2"/>
  <c r="CJ97" i="2"/>
  <c r="CJ98" i="2"/>
  <c r="CJ93" i="2"/>
  <c r="CJ94" i="2"/>
  <c r="CJ95" i="2"/>
  <c r="CJ96" i="2"/>
  <c r="CJ92" i="2"/>
  <c r="CJ8" i="2"/>
  <c r="CK16" i="2"/>
  <c r="CI13" i="2"/>
  <c r="CJ12" i="2" l="1"/>
  <c r="CI10" i="2"/>
  <c r="CJ11" i="2"/>
  <c r="CK88" i="2"/>
  <c r="CK58" i="2"/>
  <c r="CK53" i="2"/>
  <c r="CK42" i="2"/>
  <c r="CK18" i="2"/>
  <c r="CK17" i="2"/>
  <c r="CK100" i="2"/>
  <c r="CK101" i="2"/>
  <c r="CK97" i="2"/>
  <c r="CK98" i="2"/>
  <c r="CK99" i="2"/>
  <c r="CK94" i="2"/>
  <c r="CK95" i="2"/>
  <c r="CK96" i="2"/>
  <c r="CK93" i="2"/>
  <c r="CK92" i="2"/>
  <c r="CK8" i="2"/>
  <c r="CL16" i="2"/>
  <c r="CJ13" i="2"/>
  <c r="CK12" i="2" l="1"/>
  <c r="CJ10" i="2"/>
  <c r="CK11" i="2"/>
  <c r="CL88" i="2"/>
  <c r="CL58" i="2"/>
  <c r="CL53" i="2"/>
  <c r="CL42" i="2"/>
  <c r="CL18" i="2"/>
  <c r="CL17" i="2"/>
  <c r="CL101" i="2"/>
  <c r="CL97" i="2"/>
  <c r="CL98" i="2"/>
  <c r="CL99" i="2"/>
  <c r="CL100" i="2"/>
  <c r="CL95" i="2"/>
  <c r="CL96" i="2"/>
  <c r="CL93" i="2"/>
  <c r="CL94" i="2"/>
  <c r="CL92" i="2"/>
  <c r="CL8" i="2"/>
  <c r="CM16" i="2"/>
  <c r="CK13" i="2"/>
  <c r="CL12" i="2" l="1"/>
  <c r="CK10" i="2"/>
  <c r="CL11" i="2"/>
  <c r="CM88" i="2"/>
  <c r="CM53" i="2"/>
  <c r="CM58" i="2"/>
  <c r="CM42" i="2"/>
  <c r="CM18" i="2"/>
  <c r="CM17" i="2"/>
  <c r="CM98" i="2"/>
  <c r="CM99" i="2"/>
  <c r="CM100" i="2"/>
  <c r="CM101" i="2"/>
  <c r="CM97" i="2"/>
  <c r="CM96" i="2"/>
  <c r="CM93" i="2"/>
  <c r="CM94" i="2"/>
  <c r="CM95" i="2"/>
  <c r="CM92" i="2"/>
  <c r="CM8" i="2"/>
  <c r="CN16" i="2"/>
  <c r="CL13" i="2"/>
  <c r="CM12" i="2" l="1"/>
  <c r="CL10" i="2"/>
  <c r="CM11" i="2"/>
  <c r="CN88" i="2"/>
  <c r="CN58" i="2"/>
  <c r="CN42" i="2"/>
  <c r="CN53" i="2"/>
  <c r="CN18" i="2"/>
  <c r="CN17" i="2"/>
  <c r="CN99" i="2"/>
  <c r="CN100" i="2"/>
  <c r="CN101" i="2"/>
  <c r="CN97" i="2"/>
  <c r="CN98" i="2"/>
  <c r="CN93" i="2"/>
  <c r="CN94" i="2"/>
  <c r="CN95" i="2"/>
  <c r="CN96" i="2"/>
  <c r="CN92" i="2"/>
  <c r="CN8" i="2"/>
  <c r="CO16" i="2"/>
  <c r="CM13" i="2"/>
  <c r="CN12" i="2" l="1"/>
  <c r="CN11" i="2"/>
  <c r="CM10" i="2"/>
  <c r="CO88" i="2"/>
  <c r="CO58" i="2"/>
  <c r="CO53" i="2"/>
  <c r="CO18" i="2"/>
  <c r="CO42" i="2"/>
  <c r="CO17" i="2"/>
  <c r="CO100" i="2"/>
  <c r="CO101" i="2"/>
  <c r="CO97" i="2"/>
  <c r="CO98" i="2"/>
  <c r="CO99" i="2"/>
  <c r="CO94" i="2"/>
  <c r="CO95" i="2"/>
  <c r="CO96" i="2"/>
  <c r="CO93" i="2"/>
  <c r="CO92" i="2"/>
  <c r="CO8" i="2"/>
  <c r="CN13" i="2"/>
  <c r="CP16" i="2"/>
  <c r="CO12" i="2" l="1"/>
  <c r="CN10" i="2"/>
  <c r="CO11" i="2"/>
  <c r="CP88" i="2"/>
  <c r="CP58" i="2"/>
  <c r="CP53" i="2"/>
  <c r="CP42" i="2"/>
  <c r="CP18" i="2"/>
  <c r="CP17" i="2"/>
  <c r="CP101" i="2"/>
  <c r="CP97" i="2"/>
  <c r="CP98" i="2"/>
  <c r="CP99" i="2"/>
  <c r="CP100" i="2"/>
  <c r="CP95" i="2"/>
  <c r="CP96" i="2"/>
  <c r="CP93" i="2"/>
  <c r="CP94" i="2"/>
  <c r="CP92" i="2"/>
  <c r="CP8" i="2"/>
  <c r="CQ16" i="2"/>
  <c r="CO13" i="2"/>
  <c r="CP12" i="2" l="1"/>
  <c r="CO10" i="2"/>
  <c r="CP11" i="2"/>
  <c r="CQ88" i="2"/>
  <c r="CQ53" i="2"/>
  <c r="CQ58" i="2"/>
  <c r="CQ42" i="2"/>
  <c r="CQ18" i="2"/>
  <c r="CQ17" i="2"/>
  <c r="CQ98" i="2"/>
  <c r="CQ99" i="2"/>
  <c r="CQ100" i="2"/>
  <c r="CQ101" i="2"/>
  <c r="CQ97" i="2"/>
  <c r="CQ96" i="2"/>
  <c r="CQ93" i="2"/>
  <c r="CQ94" i="2"/>
  <c r="CQ95" i="2"/>
  <c r="CQ92" i="2"/>
  <c r="CQ8" i="2"/>
  <c r="CR16" i="2"/>
  <c r="CP13" i="2"/>
  <c r="CQ12" i="2" l="1"/>
  <c r="CP10" i="2"/>
  <c r="CQ11" i="2"/>
  <c r="CR88" i="2"/>
  <c r="CR58" i="2"/>
  <c r="CR42" i="2"/>
  <c r="CR53" i="2"/>
  <c r="CR18" i="2"/>
  <c r="CR17" i="2"/>
  <c r="CR99" i="2"/>
  <c r="CR100" i="2"/>
  <c r="CR101" i="2"/>
  <c r="CR97" i="2"/>
  <c r="CR98" i="2"/>
  <c r="CR93" i="2"/>
  <c r="CR94" i="2"/>
  <c r="CR95" i="2"/>
  <c r="CR96" i="2"/>
  <c r="CR92" i="2"/>
  <c r="CR8" i="2"/>
  <c r="CS16" i="2"/>
  <c r="CQ13" i="2"/>
  <c r="CR12" i="2" l="1"/>
  <c r="CQ10" i="2"/>
  <c r="CR11" i="2"/>
  <c r="CS88" i="2"/>
  <c r="CS58" i="2"/>
  <c r="CS53" i="2"/>
  <c r="CS18" i="2"/>
  <c r="CS42" i="2"/>
  <c r="CS17" i="2"/>
  <c r="CS100" i="2"/>
  <c r="CS101" i="2"/>
  <c r="CS97" i="2"/>
  <c r="CS98" i="2"/>
  <c r="CS99" i="2"/>
  <c r="CS94" i="2"/>
  <c r="CS95" i="2"/>
  <c r="CS96" i="2"/>
  <c r="CS93" i="2"/>
  <c r="CS92" i="2"/>
  <c r="CS8" i="2"/>
  <c r="CR13" i="2"/>
  <c r="CT16" i="2"/>
  <c r="CS12" i="2" l="1"/>
  <c r="CR10" i="2"/>
  <c r="CS11" i="2"/>
  <c r="CT88" i="2"/>
  <c r="CT58" i="2"/>
  <c r="CT53" i="2"/>
  <c r="CT42" i="2"/>
  <c r="CT18" i="2"/>
  <c r="CT17" i="2"/>
  <c r="CT101" i="2"/>
  <c r="CT97" i="2"/>
  <c r="CT98" i="2"/>
  <c r="CT99" i="2"/>
  <c r="CT100" i="2"/>
  <c r="CT95" i="2"/>
  <c r="CT96" i="2"/>
  <c r="CT93" i="2"/>
  <c r="CT94" i="2"/>
  <c r="CT92" i="2"/>
  <c r="CT8" i="2"/>
  <c r="CU16" i="2"/>
  <c r="CS13" i="2"/>
  <c r="CT12" i="2" l="1"/>
  <c r="CS10" i="2"/>
  <c r="CT11" i="2"/>
  <c r="CU88" i="2"/>
  <c r="CU53" i="2"/>
  <c r="CU58" i="2"/>
  <c r="CU42" i="2"/>
  <c r="CU18" i="2"/>
  <c r="CU17" i="2"/>
  <c r="CU98" i="2"/>
  <c r="CU99" i="2"/>
  <c r="CU100" i="2"/>
  <c r="CU101" i="2"/>
  <c r="CU97" i="2"/>
  <c r="CU96" i="2"/>
  <c r="CU93" i="2"/>
  <c r="CU94" i="2"/>
  <c r="CU95" i="2"/>
  <c r="CU92" i="2"/>
  <c r="CU8" i="2"/>
  <c r="CV16" i="2"/>
  <c r="CT13" i="2"/>
  <c r="CU12" i="2" l="1"/>
  <c r="CT10" i="2"/>
  <c r="CU11" i="2"/>
  <c r="CV88" i="2"/>
  <c r="CV58" i="2"/>
  <c r="CV53" i="2"/>
  <c r="CV42" i="2"/>
  <c r="CV18" i="2"/>
  <c r="CV17" i="2"/>
  <c r="CV99" i="2"/>
  <c r="CV100" i="2"/>
  <c r="CV101" i="2"/>
  <c r="CV97" i="2"/>
  <c r="CV98" i="2"/>
  <c r="CV93" i="2"/>
  <c r="CV94" i="2"/>
  <c r="CV95" i="2"/>
  <c r="CV96" i="2"/>
  <c r="CV92" i="2"/>
  <c r="CV8" i="2"/>
  <c r="CW16" i="2"/>
  <c r="CU13" i="2"/>
  <c r="CV12" i="2" l="1"/>
  <c r="CU10" i="2"/>
  <c r="CV11" i="2"/>
  <c r="CW88" i="2"/>
  <c r="CW58" i="2"/>
  <c r="CW53" i="2"/>
  <c r="CW18" i="2"/>
  <c r="CW42" i="2"/>
  <c r="CW17" i="2"/>
  <c r="CW100" i="2"/>
  <c r="CW101" i="2"/>
  <c r="CW97" i="2"/>
  <c r="CW98" i="2"/>
  <c r="CW99" i="2"/>
  <c r="CW94" i="2"/>
  <c r="CW95" i="2"/>
  <c r="CW96" i="2"/>
  <c r="CW93" i="2"/>
  <c r="CW92" i="2"/>
  <c r="CW8" i="2"/>
  <c r="CV13" i="2"/>
  <c r="CX16" i="2"/>
  <c r="CW12" i="2" l="1"/>
  <c r="CV10" i="2"/>
  <c r="CW11" i="2"/>
  <c r="CX88" i="2"/>
  <c r="CX58" i="2"/>
  <c r="CX53" i="2"/>
  <c r="CX42" i="2"/>
  <c r="CX18" i="2"/>
  <c r="CX17" i="2"/>
  <c r="CX101" i="2"/>
  <c r="CX97" i="2"/>
  <c r="CX98" i="2"/>
  <c r="CX99" i="2"/>
  <c r="CX100" i="2"/>
  <c r="CX95" i="2"/>
  <c r="CX96" i="2"/>
  <c r="CX93" i="2"/>
  <c r="CX94" i="2"/>
  <c r="CX92" i="2"/>
  <c r="CX8" i="2"/>
  <c r="CY16" i="2"/>
  <c r="CW13" i="2"/>
  <c r="CX12" i="2" l="1"/>
  <c r="CW10" i="2"/>
  <c r="CX11" i="2"/>
  <c r="CY88" i="2"/>
  <c r="CY53" i="2"/>
  <c r="CY58" i="2"/>
  <c r="CY42" i="2"/>
  <c r="CY18" i="2"/>
  <c r="CY17" i="2"/>
  <c r="CY98" i="2"/>
  <c r="CY99" i="2"/>
  <c r="CY100" i="2"/>
  <c r="CY101" i="2"/>
  <c r="CY97" i="2"/>
  <c r="CY96" i="2"/>
  <c r="CY93" i="2"/>
  <c r="CY94" i="2"/>
  <c r="CY95" i="2"/>
  <c r="CY92" i="2"/>
  <c r="CY8" i="2"/>
  <c r="CZ16" i="2"/>
  <c r="CX13" i="2"/>
  <c r="CY12" i="2" l="1"/>
  <c r="CY11" i="2"/>
  <c r="CX10" i="2"/>
  <c r="CZ88" i="2"/>
  <c r="CZ58" i="2"/>
  <c r="CZ42" i="2"/>
  <c r="CZ18" i="2"/>
  <c r="CZ53" i="2"/>
  <c r="CZ17" i="2"/>
  <c r="CZ99" i="2"/>
  <c r="CZ100" i="2"/>
  <c r="CZ101" i="2"/>
  <c r="CZ97" i="2"/>
  <c r="CZ98" i="2"/>
  <c r="CZ93" i="2"/>
  <c r="CZ94" i="2"/>
  <c r="CZ95" i="2"/>
  <c r="CZ96" i="2"/>
  <c r="CZ92" i="2"/>
  <c r="CZ8" i="2"/>
  <c r="CY13" i="2"/>
  <c r="DA16" i="2"/>
  <c r="CZ12" i="2" l="1"/>
  <c r="CY10" i="2"/>
  <c r="CZ11" i="2"/>
  <c r="DA88" i="2"/>
  <c r="DA58" i="2"/>
  <c r="DA53" i="2"/>
  <c r="DA42" i="2"/>
  <c r="DA18" i="2"/>
  <c r="DA17" i="2"/>
  <c r="DA100" i="2"/>
  <c r="DA101" i="2"/>
  <c r="DA97" i="2"/>
  <c r="DA98" i="2"/>
  <c r="DA99" i="2"/>
  <c r="DA94" i="2"/>
  <c r="DA95" i="2"/>
  <c r="DA96" i="2"/>
  <c r="DA93" i="2"/>
  <c r="DA92" i="2"/>
  <c r="DA8" i="2"/>
  <c r="CZ13" i="2"/>
  <c r="DB16" i="2"/>
  <c r="DA12" i="2" l="1"/>
  <c r="CZ10" i="2"/>
  <c r="DA11" i="2"/>
  <c r="DB88" i="2"/>
  <c r="DB58" i="2"/>
  <c r="DB53" i="2"/>
  <c r="DB42" i="2"/>
  <c r="DB18" i="2"/>
  <c r="DB17" i="2"/>
  <c r="DB101" i="2"/>
  <c r="DB97" i="2"/>
  <c r="DB98" i="2"/>
  <c r="DB99" i="2"/>
  <c r="DB100" i="2"/>
  <c r="DB95" i="2"/>
  <c r="DB96" i="2"/>
  <c r="DB93" i="2"/>
  <c r="DB92" i="2"/>
  <c r="DB94" i="2"/>
  <c r="DB8" i="2"/>
  <c r="DC16" i="2"/>
  <c r="DA13" i="2"/>
  <c r="DB12" i="2" l="1"/>
  <c r="DA10" i="2"/>
  <c r="DB11" i="2"/>
  <c r="DC88" i="2"/>
  <c r="DC58" i="2"/>
  <c r="DC53" i="2"/>
  <c r="DC42" i="2"/>
  <c r="DC18" i="2"/>
  <c r="DC17" i="2"/>
  <c r="DC98" i="2"/>
  <c r="DC99" i="2"/>
  <c r="DC100" i="2"/>
  <c r="DC101" i="2"/>
  <c r="DC97" i="2"/>
  <c r="DC96" i="2"/>
  <c r="DC93" i="2"/>
  <c r="DC94" i="2"/>
  <c r="DC95" i="2"/>
  <c r="DC92" i="2"/>
  <c r="DC8" i="2"/>
  <c r="DD16" i="2"/>
  <c r="DB13" i="2"/>
  <c r="DC12" i="2" l="1"/>
  <c r="DB10" i="2"/>
  <c r="DC11" i="2"/>
  <c r="DD88" i="2"/>
  <c r="DD58" i="2"/>
  <c r="DD42" i="2"/>
  <c r="DD53" i="2"/>
  <c r="DD18" i="2"/>
  <c r="DD17" i="2"/>
  <c r="DD99" i="2"/>
  <c r="DD100" i="2"/>
  <c r="DD101" i="2"/>
  <c r="DD97" i="2"/>
  <c r="DD98" i="2"/>
  <c r="DD93" i="2"/>
  <c r="DD94" i="2"/>
  <c r="DD95" i="2"/>
  <c r="DD96" i="2"/>
  <c r="DD92" i="2"/>
  <c r="DD8" i="2"/>
  <c r="DC13" i="2"/>
  <c r="DE16" i="2"/>
  <c r="DD12" i="2" l="1"/>
  <c r="DC10" i="2"/>
  <c r="DD11" i="2"/>
  <c r="DE88" i="2"/>
  <c r="DE58" i="2"/>
  <c r="DE53" i="2"/>
  <c r="DE18" i="2"/>
  <c r="DE42" i="2"/>
  <c r="DE17" i="2"/>
  <c r="DE100" i="2"/>
  <c r="DE101" i="2"/>
  <c r="DE97" i="2"/>
  <c r="DE98" i="2"/>
  <c r="DE99" i="2"/>
  <c r="DE94" i="2"/>
  <c r="DE95" i="2"/>
  <c r="DE96" i="2"/>
  <c r="DE93" i="2"/>
  <c r="DE92" i="2"/>
  <c r="DE8" i="2"/>
  <c r="DD13" i="2"/>
  <c r="DF16" i="2"/>
  <c r="DE12" i="2" l="1"/>
  <c r="DD10" i="2"/>
  <c r="DE11" i="2"/>
  <c r="DF88" i="2"/>
  <c r="DF58" i="2"/>
  <c r="DF53" i="2"/>
  <c r="DF42" i="2"/>
  <c r="DF18" i="2"/>
  <c r="DF17" i="2"/>
  <c r="DF101" i="2"/>
  <c r="DF97" i="2"/>
  <c r="DF98" i="2"/>
  <c r="DF99" i="2"/>
  <c r="DF100" i="2"/>
  <c r="DF95" i="2"/>
  <c r="DF96" i="2"/>
  <c r="DF93" i="2"/>
  <c r="DF92" i="2"/>
  <c r="DF94" i="2"/>
  <c r="DF8" i="2"/>
  <c r="DG16" i="2"/>
  <c r="DE13" i="2"/>
  <c r="DF12" i="2" l="1"/>
  <c r="DE10" i="2"/>
  <c r="DF11" i="2"/>
  <c r="DG88" i="2"/>
  <c r="DG53" i="2"/>
  <c r="DG42" i="2"/>
  <c r="DG58" i="2"/>
  <c r="DG18" i="2"/>
  <c r="DG17" i="2"/>
  <c r="DG98" i="2"/>
  <c r="DG99" i="2"/>
  <c r="DG100" i="2"/>
  <c r="DG101" i="2"/>
  <c r="DG97" i="2"/>
  <c r="DG96" i="2"/>
  <c r="DG93" i="2"/>
  <c r="DG94" i="2"/>
  <c r="DG95" i="2"/>
  <c r="DG92" i="2"/>
  <c r="DG8" i="2"/>
  <c r="DH16" i="2"/>
  <c r="DF13" i="2"/>
  <c r="DG12" i="2" l="1"/>
  <c r="DF10" i="2"/>
  <c r="DG11" i="2"/>
  <c r="DH88" i="2"/>
  <c r="DH58" i="2"/>
  <c r="DH42" i="2"/>
  <c r="DH53" i="2"/>
  <c r="DH18" i="2"/>
  <c r="DH17" i="2"/>
  <c r="DH99" i="2"/>
  <c r="DH100" i="2"/>
  <c r="DH101" i="2"/>
  <c r="DH97" i="2"/>
  <c r="DH98" i="2"/>
  <c r="DH93" i="2"/>
  <c r="DH92" i="2"/>
  <c r="DH94" i="2"/>
  <c r="DH95" i="2"/>
  <c r="DH96" i="2"/>
  <c r="DH8" i="2"/>
  <c r="DI16" i="2"/>
  <c r="DG13" i="2"/>
  <c r="DH12" i="2" l="1"/>
  <c r="DG10" i="2"/>
  <c r="DH11" i="2"/>
  <c r="DI88" i="2"/>
  <c r="DI58" i="2"/>
  <c r="DI53" i="2"/>
  <c r="DI18" i="2"/>
  <c r="DI42" i="2"/>
  <c r="DI17" i="2"/>
  <c r="DI100" i="2"/>
  <c r="DI101" i="2"/>
  <c r="DI97" i="2"/>
  <c r="DI98" i="2"/>
  <c r="DI99" i="2"/>
  <c r="DI94" i="2"/>
  <c r="DI95" i="2"/>
  <c r="DI96" i="2"/>
  <c r="DI93" i="2"/>
  <c r="DI92" i="2"/>
  <c r="DI8" i="2"/>
  <c r="DH13" i="2"/>
  <c r="DJ16" i="2"/>
  <c r="DI12" i="2" l="1"/>
  <c r="DH10" i="2"/>
  <c r="DI11" i="2"/>
  <c r="DJ88" i="2"/>
  <c r="DJ58" i="2"/>
  <c r="DJ53" i="2"/>
  <c r="DJ42" i="2"/>
  <c r="DJ18" i="2"/>
  <c r="DJ17" i="2"/>
  <c r="DJ101" i="2"/>
  <c r="DJ97" i="2"/>
  <c r="DJ98" i="2"/>
  <c r="DJ99" i="2"/>
  <c r="DJ100" i="2"/>
  <c r="DJ95" i="2"/>
  <c r="DJ96" i="2"/>
  <c r="DJ93" i="2"/>
  <c r="DJ92" i="2"/>
  <c r="DJ94" i="2"/>
  <c r="DJ8" i="2"/>
  <c r="DK16" i="2"/>
  <c r="DI13" i="2"/>
  <c r="DJ12" i="2" l="1"/>
  <c r="DI10" i="2"/>
  <c r="DJ11" i="2"/>
  <c r="DK88" i="2"/>
  <c r="DK53" i="2"/>
  <c r="DK58" i="2"/>
  <c r="DK42" i="2"/>
  <c r="DK18" i="2"/>
  <c r="DK17" i="2"/>
  <c r="DK98" i="2"/>
  <c r="DK99" i="2"/>
  <c r="DK100" i="2"/>
  <c r="DK101" i="2"/>
  <c r="DK97" i="2"/>
  <c r="DK96" i="2"/>
  <c r="DK93" i="2"/>
  <c r="DK92" i="2"/>
  <c r="DK94" i="2"/>
  <c r="DK95" i="2"/>
  <c r="DK8" i="2"/>
  <c r="DL16" i="2"/>
  <c r="DJ13" i="2"/>
  <c r="DK12" i="2" l="1"/>
  <c r="DJ10" i="2"/>
  <c r="DK11" i="2"/>
  <c r="DL88" i="2"/>
  <c r="DL58" i="2"/>
  <c r="DL53" i="2"/>
  <c r="DL42" i="2"/>
  <c r="DL18" i="2"/>
  <c r="DL17" i="2"/>
  <c r="DL99" i="2"/>
  <c r="DL100" i="2"/>
  <c r="DL101" i="2"/>
  <c r="DL97" i="2"/>
  <c r="DL98" i="2"/>
  <c r="DL93" i="2"/>
  <c r="DL92" i="2"/>
  <c r="DL94" i="2"/>
  <c r="DL95" i="2"/>
  <c r="DL96" i="2"/>
  <c r="DL8" i="2"/>
  <c r="DM16" i="2"/>
  <c r="DK13" i="2"/>
  <c r="DL12" i="2" l="1"/>
  <c r="DK10" i="2"/>
  <c r="DL11" i="2"/>
  <c r="DM88" i="2"/>
  <c r="DM58" i="2"/>
  <c r="DM53" i="2"/>
  <c r="DM18" i="2"/>
  <c r="DM42" i="2"/>
  <c r="DM17" i="2"/>
  <c r="DM100" i="2"/>
  <c r="DM101" i="2"/>
  <c r="DM97" i="2"/>
  <c r="DM98" i="2"/>
  <c r="DM99" i="2"/>
  <c r="DM94" i="2"/>
  <c r="DM95" i="2"/>
  <c r="DM96" i="2"/>
  <c r="DM93" i="2"/>
  <c r="DM92" i="2"/>
  <c r="DM8" i="2"/>
  <c r="DL13" i="2"/>
  <c r="DN16" i="2"/>
  <c r="DM12" i="2" l="1"/>
  <c r="DL10" i="2"/>
  <c r="DM11" i="2"/>
  <c r="DN88" i="2"/>
  <c r="DN58" i="2"/>
  <c r="DN53" i="2"/>
  <c r="DN42" i="2"/>
  <c r="DN18" i="2"/>
  <c r="DN17" i="2"/>
  <c r="DN101" i="2"/>
  <c r="DN97" i="2"/>
  <c r="DN98" i="2"/>
  <c r="DN99" i="2"/>
  <c r="DN100" i="2"/>
  <c r="DN95" i="2"/>
  <c r="DN96" i="2"/>
  <c r="DN93" i="2"/>
  <c r="DN92" i="2"/>
  <c r="DN94" i="2"/>
  <c r="DN8" i="2"/>
  <c r="DO16" i="2"/>
  <c r="DM13" i="2"/>
  <c r="DN12" i="2" l="1"/>
  <c r="DM10" i="2"/>
  <c r="DN11" i="2"/>
  <c r="DO88" i="2"/>
  <c r="DO53" i="2"/>
  <c r="DO58" i="2"/>
  <c r="DO42" i="2"/>
  <c r="DO18" i="2"/>
  <c r="DO17" i="2"/>
  <c r="DO98" i="2"/>
  <c r="DO99" i="2"/>
  <c r="DO100" i="2"/>
  <c r="DO101" i="2"/>
  <c r="DO97" i="2"/>
  <c r="DO96" i="2"/>
  <c r="DO93" i="2"/>
  <c r="DO92" i="2"/>
  <c r="DO94" i="2"/>
  <c r="DO95" i="2"/>
  <c r="DO8" i="2"/>
  <c r="DP16" i="2"/>
  <c r="DN13" i="2"/>
  <c r="DN10" i="2" l="1"/>
  <c r="DO12" i="2"/>
  <c r="DO11" i="2"/>
  <c r="DP88" i="2"/>
  <c r="DP58" i="2"/>
  <c r="DP42" i="2"/>
  <c r="DP18" i="2"/>
  <c r="DP53" i="2"/>
  <c r="DP17" i="2"/>
  <c r="DP99" i="2"/>
  <c r="DP100" i="2"/>
  <c r="DP101" i="2"/>
  <c r="DP97" i="2"/>
  <c r="DP98" i="2"/>
  <c r="DP93" i="2"/>
  <c r="DP92" i="2"/>
  <c r="DP94" i="2"/>
  <c r="DP95" i="2"/>
  <c r="DP96" i="2"/>
  <c r="DP8" i="2"/>
  <c r="DO13" i="2"/>
  <c r="DQ16" i="2"/>
  <c r="DO10" i="2" l="1"/>
  <c r="DP12" i="2"/>
  <c r="DP11" i="2"/>
  <c r="DQ88" i="2"/>
  <c r="DQ58" i="2"/>
  <c r="DQ53" i="2"/>
  <c r="DQ42" i="2"/>
  <c r="DQ18" i="2"/>
  <c r="DQ17" i="2"/>
  <c r="DQ100" i="2"/>
  <c r="DQ101" i="2"/>
  <c r="DQ97" i="2"/>
  <c r="DQ98" i="2"/>
  <c r="DQ99" i="2"/>
  <c r="DQ94" i="2"/>
  <c r="DQ95" i="2"/>
  <c r="DQ96" i="2"/>
  <c r="DQ93" i="2"/>
  <c r="DQ92" i="2"/>
  <c r="DQ8" i="2"/>
  <c r="DR16" i="2"/>
  <c r="DP13" i="2"/>
  <c r="DQ12" i="2" l="1"/>
  <c r="DP10" i="2"/>
  <c r="DQ11" i="2"/>
  <c r="DR88" i="2"/>
  <c r="DR58" i="2"/>
  <c r="DR53" i="2"/>
  <c r="DR42" i="2"/>
  <c r="DR18" i="2"/>
  <c r="DR17" i="2"/>
  <c r="DR101" i="2"/>
  <c r="DR97" i="2"/>
  <c r="DR98" i="2"/>
  <c r="DR99" i="2"/>
  <c r="DR100" i="2"/>
  <c r="DR96" i="2"/>
  <c r="DR95" i="2"/>
  <c r="DR93" i="2"/>
  <c r="DR92" i="2"/>
  <c r="DR94" i="2"/>
  <c r="DR8" i="2"/>
  <c r="DS16" i="2"/>
  <c r="DQ13" i="2"/>
  <c r="DR12" i="2" l="1"/>
  <c r="DQ10" i="2"/>
  <c r="DR11" i="2"/>
  <c r="DS88" i="2"/>
  <c r="DS58" i="2"/>
  <c r="DS53" i="2"/>
  <c r="DS42" i="2"/>
  <c r="DS18" i="2"/>
  <c r="DS17" i="2"/>
  <c r="DS98" i="2"/>
  <c r="DS99" i="2"/>
  <c r="DS100" i="2"/>
  <c r="DS101" i="2"/>
  <c r="DS97" i="2"/>
  <c r="DS96" i="2"/>
  <c r="DS93" i="2"/>
  <c r="DS92" i="2"/>
  <c r="DS94" i="2"/>
  <c r="DS95" i="2"/>
  <c r="DS8" i="2"/>
  <c r="DT16" i="2"/>
  <c r="DR13" i="2"/>
  <c r="DS12" i="2" l="1"/>
  <c r="DR10" i="2"/>
  <c r="DS11" i="2"/>
  <c r="DT88" i="2"/>
  <c r="DT58" i="2"/>
  <c r="DT42" i="2"/>
  <c r="DT53" i="2"/>
  <c r="DT18" i="2"/>
  <c r="DT17" i="2"/>
  <c r="DT99" i="2"/>
  <c r="DT100" i="2"/>
  <c r="DT101" i="2"/>
  <c r="DT97" i="2"/>
  <c r="DT98" i="2"/>
  <c r="DT96" i="2"/>
  <c r="DT93" i="2"/>
  <c r="DT92" i="2"/>
  <c r="DT94" i="2"/>
  <c r="DT95" i="2"/>
  <c r="DT8" i="2"/>
  <c r="DS13" i="2"/>
  <c r="DU16" i="2"/>
  <c r="DT12" i="2" l="1"/>
  <c r="DS10" i="2"/>
  <c r="DT11" i="2"/>
  <c r="DU88" i="2"/>
  <c r="DU58" i="2"/>
  <c r="DU53" i="2"/>
  <c r="DU18" i="2"/>
  <c r="DU42" i="2"/>
  <c r="DU17" i="2"/>
  <c r="DU100" i="2"/>
  <c r="DU96" i="2"/>
  <c r="DU101" i="2"/>
  <c r="DU97" i="2"/>
  <c r="DU98" i="2"/>
  <c r="DU99" i="2"/>
  <c r="DU94" i="2"/>
  <c r="DU95" i="2"/>
  <c r="DU93" i="2"/>
  <c r="DU92" i="2"/>
  <c r="DU8" i="2"/>
  <c r="DT13" i="2"/>
  <c r="DV16" i="2"/>
  <c r="DU12" i="2" l="1"/>
  <c r="DT10" i="2"/>
  <c r="DU11" i="2"/>
  <c r="DV88" i="2"/>
  <c r="DV58" i="2"/>
  <c r="DV53" i="2"/>
  <c r="DV42" i="2"/>
  <c r="DV18" i="2"/>
  <c r="DV17" i="2"/>
  <c r="DV101" i="2"/>
  <c r="DV97" i="2"/>
  <c r="DV98" i="2"/>
  <c r="DV99" i="2"/>
  <c r="DV100" i="2"/>
  <c r="DV96" i="2"/>
  <c r="DV95" i="2"/>
  <c r="DV93" i="2"/>
  <c r="DV92" i="2"/>
  <c r="DV94" i="2"/>
  <c r="DV8" i="2"/>
  <c r="DU13" i="2"/>
  <c r="O6" i="2" l="1"/>
  <c r="I6" i="2"/>
  <c r="J6" i="2"/>
  <c r="N6" i="2"/>
  <c r="K6" i="2"/>
  <c r="L6" i="2"/>
  <c r="H6" i="2"/>
  <c r="M6" i="2"/>
  <c r="G6" i="2"/>
  <c r="F6" i="2"/>
  <c r="DV12" i="2"/>
  <c r="DV11" i="2"/>
  <c r="DU10" i="2"/>
  <c r="DV10" i="2" l="1"/>
  <c r="O7" i="2" s="1"/>
  <c r="F7" i="2"/>
  <c r="G7" i="2"/>
  <c r="H7" i="2"/>
  <c r="I7" i="2"/>
  <c r="J7" i="2"/>
  <c r="K7" i="2"/>
  <c r="L7" i="2"/>
  <c r="M7" i="2"/>
  <c r="N7" i="2"/>
  <c r="B5" i="5" l="1"/>
  <c r="B39" i="2"/>
  <c r="F39" i="2" l="1"/>
  <c r="B4" i="5"/>
  <c r="B3" i="5" s="1"/>
  <c r="B14" i="2"/>
  <c r="F12" i="2" l="1"/>
  <c r="F10" i="2" s="1"/>
  <c r="E7" i="2" s="1"/>
  <c r="F9" i="2"/>
  <c r="B10" i="2" s="1"/>
  <c r="B5" i="2" l="1"/>
  <c r="B15" i="2" s="1"/>
  <c r="E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tc={22A0B8CF-A5E4-2F46-924D-FAEA428D126C}</author>
    <author>tc={B17C2C18-92E5-874E-9CB7-3B645A63D2F2}</author>
    <author>tc={9F347EDC-DA82-D442-A5EC-71828CD976AC}</author>
    <author>tc={1252E521-9220-114D-8819-F7D448080962}</author>
    <author>tc={D7C35B69-8B7E-2843-B7D9-AB7C42D50AE8}</author>
    <author>tc={30C5FC8D-3B15-184C-A06D-4D274AD577FB}</author>
    <author>tc={17E96D4A-8B6A-9346-9076-48FCFFE8F888}</author>
    <author>tc={7EADA78D-C29F-6B45-9865-2838F5ECBAD2}</author>
    <author>tc={B7CCDB70-465A-B046-839F-80B107F59F2D}</author>
    <author>tc={763D5FFF-F28E-5E4F-95C0-E8CC9B715463}</author>
    <author>tc={437915A6-FCFD-CF43-A349-2D0F894E43AE}</author>
  </authors>
  <commentList>
    <comment ref="O3" authorId="0" shapeId="0" xr:uid="{22A0B8CF-A5E4-2F46-924D-FAEA428D126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utiliza un año 11 para completar 10 años en la totalidad del proyecto. De acuerdo al mes de inicio en el año 1</t>
      </text>
    </comment>
    <comment ref="B6" authorId="1" shapeId="0" xr:uid="{B17C2C18-92E5-874E-9CB7-3B645A63D2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Res 895 de 2016</t>
      </text>
    </comment>
    <comment ref="A20" authorId="2" shapeId="0" xr:uid="{9F347EDC-DA82-D442-A5EC-71828CD976A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Verificar nombre</t>
      </text>
    </comment>
    <comment ref="A21" authorId="3" shapeId="0" xr:uid="{1252E521-9220-114D-8819-F7D44808096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22" authorId="4" shapeId="0" xr:uid="{D7C35B69-8B7E-2843-B7D9-AB7C42D50AE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36" authorId="5" shapeId="0" xr:uid="{30C5FC8D-3B15-184C-A06D-4D274AD577F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37" authorId="6" shapeId="0" xr:uid="{17E96D4A-8B6A-9346-9076-48FCFFE8F8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38" authorId="7" shapeId="0" xr:uid="{7EADA78D-C29F-6B45-9865-2838F5ECBAD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39" authorId="8" shapeId="0" xr:uid="{B7CCDB70-465A-B046-839F-80B107F59F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40" authorId="9" shapeId="0" xr:uid="{763D5FFF-F28E-5E4F-95C0-E8CC9B7154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  <comment ref="A41" authorId="10" shapeId="0" xr:uid="{437915A6-FCFD-CF43-A349-2D0F894E43A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instalación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tc={6BCE3E85-8CC7-B449-B72E-802849BB6F2D}</author>
    <author>tc={BAE52AD7-EBB4-0940-9F9F-8BA7582E9848}</author>
  </authors>
  <commentList>
    <comment ref="H731" authorId="0" shapeId="0" xr:uid="{6BCE3E85-8CC7-B449-B72E-802849BB6F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Asuminendo KWh a 600 COP
Respuesta:
    5 KWh promedio</t>
      </text>
    </comment>
    <comment ref="C965" authorId="1" shapeId="0" xr:uid="{BAE52AD7-EBB4-0940-9F9F-8BA7582E984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Separar por tipo de acceso. Dejar opcion de incluir o no en el modelo</t>
      </text>
    </comment>
  </commentList>
</comments>
</file>

<file path=xl/sharedStrings.xml><?xml version="1.0" encoding="utf-8"?>
<sst xmlns="http://schemas.openxmlformats.org/spreadsheetml/2006/main" count="8088" uniqueCount="383">
  <si>
    <t>Obra Civil</t>
  </si>
  <si>
    <t>CAPEX</t>
  </si>
  <si>
    <t>Torre (Incluye: Tierra, Pararrayo) - Monopolo (*)</t>
  </si>
  <si>
    <t>Torre (Incluye: Tierra, Pararrayo) - Convencional (*)</t>
  </si>
  <si>
    <t>Arriendo</t>
  </si>
  <si>
    <t>Tipo 1</t>
  </si>
  <si>
    <t>Tipo 2</t>
  </si>
  <si>
    <t>OPEX</t>
  </si>
  <si>
    <t>Valor</t>
  </si>
  <si>
    <t>Clase</t>
  </si>
  <si>
    <t>Evento</t>
  </si>
  <si>
    <t>Annual</t>
  </si>
  <si>
    <t>Unitario</t>
  </si>
  <si>
    <t>Red Energia</t>
  </si>
  <si>
    <t>Planta Electrica</t>
  </si>
  <si>
    <t>4G</t>
  </si>
  <si>
    <t>Tipo 3</t>
  </si>
  <si>
    <t>Detalle</t>
  </si>
  <si>
    <t>Concepto</t>
  </si>
  <si>
    <t>Servicios Profesionales: Terreno, Ambiente, Aeronautica</t>
  </si>
  <si>
    <t>Mto Torre (Incluye: Tierra, Pararrayo) - Monopolo (*)</t>
  </si>
  <si>
    <t>Mto Torre (Incluye: Tierra, Pararrayo) - Convencional (*)</t>
  </si>
  <si>
    <t>Caseta / Rack Equipos</t>
  </si>
  <si>
    <t>Na</t>
  </si>
  <si>
    <t>Valor Consumo De Energia Kwh</t>
  </si>
  <si>
    <t>Tipo 2 25 Kw Distancia Mt (Ml ): Lr 500</t>
  </si>
  <si>
    <t>Tipo 2 25 Kw Distancia Mt (Ml ): Lr 1000</t>
  </si>
  <si>
    <t>Tipo 2 25 Kw Distancia Mt (Ml ): Lr 1500</t>
  </si>
  <si>
    <t>Tipo 2 25 Kw Distancia Mt (Ml ): Lr 2500</t>
  </si>
  <si>
    <t>Mto Transformador</t>
  </si>
  <si>
    <t>Mto Red De Mt (Postes, Lar)</t>
  </si>
  <si>
    <t>Mto Podas</t>
  </si>
  <si>
    <t>Mto Pararrayos, Tierra</t>
  </si>
  <si>
    <t>Rectificador Y Baterias Para Enodob</t>
  </si>
  <si>
    <t>Mto Digital Enodeb Soporte Fabricante /Anual</t>
  </si>
  <si>
    <t>Mto Enlace De Transmision Mw Soporte Fabricante /Anual</t>
  </si>
  <si>
    <t>Mto Correctivo Enodeb Estimado / Evento</t>
  </si>
  <si>
    <t>Mto Correctivo Enlace De Transmision Mw /Evento</t>
  </si>
  <si>
    <t>Transferencia Y Control</t>
  </si>
  <si>
    <t>Mto Preventivoplanta Electrica / Anual</t>
  </si>
  <si>
    <t>Mto Preventivo Transferencia Y Control / Anual</t>
  </si>
  <si>
    <t>Mto Correctivo Planta Electrica / Evento</t>
  </si>
  <si>
    <t>Mto Correctivo Transferencia Y Control / Evento</t>
  </si>
  <si>
    <t>Sistema De Seguridad Electronica</t>
  </si>
  <si>
    <t>Mto Sistema De Seguridad Electronica</t>
  </si>
  <si>
    <t>Fecha inicio</t>
  </si>
  <si>
    <t>WACC</t>
  </si>
  <si>
    <t>VPN</t>
  </si>
  <si>
    <t>Resumen</t>
  </si>
  <si>
    <t>Item utilizado</t>
  </si>
  <si>
    <t>Utilizado</t>
  </si>
  <si>
    <t>S</t>
  </si>
  <si>
    <t>N</t>
  </si>
  <si>
    <t>Fecha inicio obra</t>
  </si>
  <si>
    <t>Dias</t>
  </si>
  <si>
    <t>Imprevistos</t>
  </si>
  <si>
    <t>IPC</t>
  </si>
  <si>
    <t>Gastos administrativos</t>
  </si>
  <si>
    <t>Fecha inicio funcionamiento</t>
  </si>
  <si>
    <t>Licencias MW MinTIC</t>
  </si>
  <si>
    <t>OPEX General</t>
  </si>
  <si>
    <t>Seguros</t>
  </si>
  <si>
    <t>Parámetros</t>
  </si>
  <si>
    <t>Resultados</t>
  </si>
  <si>
    <t>Tiempo reconocimiento OPEX (meses)</t>
  </si>
  <si>
    <t>Acumulado</t>
  </si>
  <si>
    <t>Valor del proyecto</t>
  </si>
  <si>
    <t>Total</t>
  </si>
  <si>
    <t>Obra civil</t>
  </si>
  <si>
    <t>Parametro</t>
  </si>
  <si>
    <t>Relación</t>
  </si>
  <si>
    <t>Referencia</t>
  </si>
  <si>
    <t>NA</t>
  </si>
  <si>
    <t>4G - BW (MHz)</t>
  </si>
  <si>
    <t>4G - Enlace De Transmision Mw Htsb (Diametro de antena Mts)</t>
  </si>
  <si>
    <t>A</t>
  </si>
  <si>
    <t>B</t>
  </si>
  <si>
    <t>Tipo de planta</t>
  </si>
  <si>
    <t>Mto 4G</t>
  </si>
  <si>
    <t>Componente</t>
  </si>
  <si>
    <t>Tipología</t>
  </si>
  <si>
    <t>TMC 4G</t>
  </si>
  <si>
    <t>WiFi LTE - Velocidad (Mbps) / Capacidad (Gb)</t>
  </si>
  <si>
    <t>Mensual</t>
  </si>
  <si>
    <t>Consumo Combustible / Mensual</t>
  </si>
  <si>
    <t>Terreno Ondulado - Soportes (Postes)</t>
  </si>
  <si>
    <t>Terreno Ondulado - Cableados Mt</t>
  </si>
  <si>
    <t>Terreno Ondulado - Paso Cruceta Lar</t>
  </si>
  <si>
    <t>Terreno Ondulado - Transformador Kw</t>
  </si>
  <si>
    <t>Terreno Ondulado - Parrarayos, Malla</t>
  </si>
  <si>
    <t>Terreno Ondulado - Tramite conexión  y permisos</t>
  </si>
  <si>
    <t>Terreno Ondulado - Asesoria y Certificacion RETIE</t>
  </si>
  <si>
    <t>Terreno Ondulado - Derechos de conexión</t>
  </si>
  <si>
    <t>Terreno Ondulado - Servidumbres</t>
  </si>
  <si>
    <t>Terreno Ondulado - Trasiegos</t>
  </si>
  <si>
    <t>Terreno Ondulado - Maniobras en conexión</t>
  </si>
  <si>
    <t>Terreno Ondulado - Diseños, planos</t>
  </si>
  <si>
    <t>Terreno Plano - Soportes (Postes)</t>
  </si>
  <si>
    <t>Terreno Plano - Cableados Mt</t>
  </si>
  <si>
    <t>Terreno Plano - Paso Cruceta Lar</t>
  </si>
  <si>
    <t>Terreno Plano - Transformador Kw</t>
  </si>
  <si>
    <t>Terreno Plano - Parrarayos, Malla</t>
  </si>
  <si>
    <t>Terreno Plano - Tramite conexión  y permisos</t>
  </si>
  <si>
    <t>Terreno Plano - Asesoria y Certificacion RETIE</t>
  </si>
  <si>
    <t>Terreno Plano - Derechos de conexión</t>
  </si>
  <si>
    <t>Terreno Plano - Servidumbres</t>
  </si>
  <si>
    <t>Terreno Plano - Trasiegos</t>
  </si>
  <si>
    <t>Terreno Plano - Maniobras en conexión</t>
  </si>
  <si>
    <t>Terreno Plano - Diseños, planos</t>
  </si>
  <si>
    <t>FTTH</t>
  </si>
  <si>
    <t>Splitter óptico</t>
  </si>
  <si>
    <t>OLT</t>
  </si>
  <si>
    <t>ONT</t>
  </si>
  <si>
    <t>LTE No Lic BH Satelital</t>
  </si>
  <si>
    <t>VSAT (con instalacion)</t>
  </si>
  <si>
    <t>Plan satelital</t>
  </si>
  <si>
    <t>250 Gb/mes</t>
  </si>
  <si>
    <t>LTE No Lic BH Microondas</t>
  </si>
  <si>
    <t>Energia Electrica - menos de 3 meses</t>
  </si>
  <si>
    <t>Monitoreo y Gestión</t>
  </si>
  <si>
    <t>5G</t>
  </si>
  <si>
    <t>Red de energia</t>
  </si>
  <si>
    <t>Red de Energia - Tipo de terreno</t>
  </si>
  <si>
    <t>Ondulado</t>
  </si>
  <si>
    <t>Plano</t>
  </si>
  <si>
    <t>Terreno - Energia</t>
  </si>
  <si>
    <t>Energia - Kw</t>
  </si>
  <si>
    <t>Kw-Energia</t>
  </si>
  <si>
    <t>TRM</t>
  </si>
  <si>
    <t>Tipologia</t>
  </si>
  <si>
    <t>Periodo de Inicio</t>
  </si>
  <si>
    <t>Periodos a reconocer</t>
  </si>
  <si>
    <t>Equipos</t>
  </si>
  <si>
    <t>Clase torre</t>
  </si>
  <si>
    <t>Monopolo</t>
  </si>
  <si>
    <t>Convencional</t>
  </si>
  <si>
    <t>Clase Torre</t>
  </si>
  <si>
    <t>CPE</t>
  </si>
  <si>
    <t>ARPU</t>
  </si>
  <si>
    <t>Subscriptores / hogares</t>
  </si>
  <si>
    <t>Calidad / Capacidad</t>
  </si>
  <si>
    <t>5 Mbps / 50 GB</t>
  </si>
  <si>
    <t>5 Mbps / 100 GB</t>
  </si>
  <si>
    <t>5 Mbps / 150 GB</t>
  </si>
  <si>
    <t>5 Mbps / 200 GB</t>
  </si>
  <si>
    <t>5 Mbps / 250 GB</t>
  </si>
  <si>
    <t>10 Mbps / 50 GB</t>
  </si>
  <si>
    <t>10 Mbps / 100 GB</t>
  </si>
  <si>
    <t>10 Mbps / 150 GB</t>
  </si>
  <si>
    <t>10 Mbps / 200 GB</t>
  </si>
  <si>
    <t>10 Mbps / 250 GB</t>
  </si>
  <si>
    <t>20 Mbps / 50 GB</t>
  </si>
  <si>
    <t>20 Mbps / 100 GB</t>
  </si>
  <si>
    <t>20 Mbps / 150 GB</t>
  </si>
  <si>
    <t>20 Mbps / 200 GB</t>
  </si>
  <si>
    <t>20 Mbps / 250 GB</t>
  </si>
  <si>
    <t>Velocidad (Mbps) / Capacidad (GB)</t>
  </si>
  <si>
    <t>5G (1+0+0) 10 MHz</t>
  </si>
  <si>
    <t>5G (1+1+0) 10 MHz</t>
  </si>
  <si>
    <t>5G (1+1+1) 10 MHz</t>
  </si>
  <si>
    <t>5G (1+1+0) 20 MHz</t>
  </si>
  <si>
    <t>5G (1+1+1) 20 MHz</t>
  </si>
  <si>
    <t>5G (1+1+1) 30 MHz</t>
  </si>
  <si>
    <t>Eventos mantenimiento correctivo por año</t>
  </si>
  <si>
    <t>KW - energía</t>
  </si>
  <si>
    <t>Altura (mts) / (Monopolo, Portatil, Convencional) 12 - 18</t>
  </si>
  <si>
    <t>Altura (mts) / (Monopolo, Portatil, Convencional) 19 - 35</t>
  </si>
  <si>
    <t>Altura (mts) / (Monopolo, Portatil, Convencional) 36 - 45</t>
  </si>
  <si>
    <t>Altura (mts) / (Monopolo, Portatil, Convencional) 46 - 60</t>
  </si>
  <si>
    <t>Altura (mts) / (Monopolo, Portatil, Convencional) 90</t>
  </si>
  <si>
    <t>Altura (mts) / Tipo (Monopolo, Portatil, Convencional) 12 - 18 Facil (Acceso Vial Y Cercania A Operador Electrico)</t>
  </si>
  <si>
    <t>Altura (mts) / Tipo (Monopolo, Portatil, Convencional) 19 - 35 Facil (Acceso Vial Y Cercania A Operador Electrico)</t>
  </si>
  <si>
    <t>Altura (mts) / Tipo (Monopolo, Portatil, Convencional) 36 - 45 Facil (Acceso Vial Y Cercania A Operador Electrico)</t>
  </si>
  <si>
    <t>Altura (mts) / Tipo (Monopolo, Portatil, Convencional) 46 - 60 Facil (Acceso Vial Y Cercania A Operador Electrico)</t>
  </si>
  <si>
    <t>Altura (mts) / Tipo (Monopolo, Portatil, Convencional) 90 Facil (Acceso Vial Y Cercania A Operador Electrico)</t>
  </si>
  <si>
    <t>Altura (mts) / Tipo (Monopolo, Portatil, Convencional) 12 - 18 Dificil (Acceso Vial Y Cercania A Operador Electrico)</t>
  </si>
  <si>
    <t>Altura (mts) / Tipo (Monopolo, Portatil, Convencional) 19 - 35 Dificil (Acceso Vial Y Cercania A Operador Electrico)</t>
  </si>
  <si>
    <t>Altura (mts) / Tipo (Monopolo, Portatil, Convencional) 36 - 45 Dificil (Acceso Vial Y Cercania A Operador Electrico)</t>
  </si>
  <si>
    <t>Altura (mts) / Tipo (Monopolo, Portatil, Convencional) 46 - 60 Dificil (Acceso Vial Y Cercania A Operador Electrico)</t>
  </si>
  <si>
    <t>Altura (mts) / Tipo (Monopolo, Portatil, Convencional) 90 Dificil (Acceso Vial Y Cercania A Operador Electrico)</t>
  </si>
  <si>
    <t>Altura (mts) / Tipo (Monopolo, Portatil, Convencional) 12 - 18 Sin Acceso Vial</t>
  </si>
  <si>
    <t>Altura (mts) / Tipo (Monopolo, Portatil, Convencional) 19 - 35 Sin Acceso Vial</t>
  </si>
  <si>
    <t>Altura (mts) / Tipo (Monopolo, Portatil, Convencional) 36 - 45 Sin Acceso Vial</t>
  </si>
  <si>
    <t>Altura (mts) / Tipo (Monopolo, Portatil, Convencional) 46 - 60 Sin Acceso Vial</t>
  </si>
  <si>
    <t>Altura (mts) / Tipo (Monopolo, Portatil, Convencional) 90 Sin Acceso Vial</t>
  </si>
  <si>
    <t>Tipo 1 25 Kw Distancia mts (Ml ): Lr 500</t>
  </si>
  <si>
    <t>Tipo 1 25 Kw Distancia mts (Ml ): Lr 1000</t>
  </si>
  <si>
    <t>Tipo 1 25 Kw Distancia mts (Ml ): Lr 1500</t>
  </si>
  <si>
    <t>Tipo 1 25 Kw Distancia mts (Ml ): Lr 2500</t>
  </si>
  <si>
    <t>Tipo 1 15 Kw Distancia mts (Ml ): Lr 500</t>
  </si>
  <si>
    <t>Tipo 1 15 Kw Distancia mts (Ml ): Lr 1000</t>
  </si>
  <si>
    <t>Tipo 1 15 Kw Distancia mts (Ml ): Lr 1500</t>
  </si>
  <si>
    <t>Tipo 1 15 Kw Distancia mts (Ml ): Lr 2500</t>
  </si>
  <si>
    <t>Tipo 2 25 Kw Distancia mts (Ml ): Lr 500</t>
  </si>
  <si>
    <t>Tipo 2 25 Kw Distancia mts (Ml ): Lr 1000</t>
  </si>
  <si>
    <t>Tipo 2 25 Kw Distancia mts (Ml ): Lr 1500</t>
  </si>
  <si>
    <t>Tipo 2 25 Kw Distancia mts (Ml ): Lr 2500</t>
  </si>
  <si>
    <t>Tipo 2 15 Kw Distancia mts (Ml ): Lr 500</t>
  </si>
  <si>
    <t>Tipo 2 15 Kw Distancia mts (Ml ): Lr 1000</t>
  </si>
  <si>
    <t>Tipo 2 15 Kw Distancia mts (Ml ): Lr 1500</t>
  </si>
  <si>
    <t>Tipo 2 15 Kw Distancia mts (Ml ): Lr 2500</t>
  </si>
  <si>
    <t xml:space="preserve">Diametros De Antena (mts) 1,2  </t>
  </si>
  <si>
    <t xml:space="preserve">Diametros De Antena (mts) 1,8  </t>
  </si>
  <si>
    <t xml:space="preserve">Diametros De Antena (mts) 2,4  </t>
  </si>
  <si>
    <t xml:space="preserve">Diametros De Antena (mts) 3,7  </t>
  </si>
  <si>
    <t xml:space="preserve">Bw = 20 MHz Sectores 1 </t>
  </si>
  <si>
    <t xml:space="preserve">Bw = 20 MHz Sectores 2 </t>
  </si>
  <si>
    <t xml:space="preserve">Bw = 20 MHz Sectores 3 </t>
  </si>
  <si>
    <t xml:space="preserve">Bw = 30 MHz Sectores 1 </t>
  </si>
  <si>
    <t xml:space="preserve">Bw = 30 MHz Sectores 2 </t>
  </si>
  <si>
    <t xml:space="preserve">Bw = 30 MHz Sectores 3 </t>
  </si>
  <si>
    <t xml:space="preserve">Bw = 20 MHz   </t>
  </si>
  <si>
    <t xml:space="preserve">Bw = 30 MHz   </t>
  </si>
  <si>
    <t>Instalacion</t>
  </si>
  <si>
    <t>Panel de control &amp; Perifericos</t>
  </si>
  <si>
    <t>Mto encerramiento</t>
  </si>
  <si>
    <t>Instalación Enodeb Tipo1</t>
  </si>
  <si>
    <t>Instalación Enodeb Tipo2</t>
  </si>
  <si>
    <t>Instalación Enodeb Tipo3</t>
  </si>
  <si>
    <t xml:space="preserve">Bw = 10 MHz Sectores 1 </t>
  </si>
  <si>
    <t xml:space="preserve">Bw = 10 MHz Sectores 2 </t>
  </si>
  <si>
    <t xml:space="preserve">Bw = 10 MHz Sectores 3 </t>
  </si>
  <si>
    <t xml:space="preserve">Bw = 10 MHz   </t>
  </si>
  <si>
    <t>Sector Enodeb</t>
  </si>
  <si>
    <t>Sector enodeb</t>
  </si>
  <si>
    <t>Microondas</t>
  </si>
  <si>
    <t>General</t>
  </si>
  <si>
    <t>Parámetros tecnológicos</t>
  </si>
  <si>
    <t>Antena De Transmision</t>
  </si>
  <si>
    <t>Equipos terminales enlace MW - HTSB</t>
  </si>
  <si>
    <t>28/30 MHz &lt; 10 GHz</t>
  </si>
  <si>
    <t>28/30 MHz &gt;10 GHz</t>
  </si>
  <si>
    <t>56 MHz &lt; 10 GHz</t>
  </si>
  <si>
    <t>56 MHz &gt; 10 GHz</t>
  </si>
  <si>
    <t>Red de transmisión - MW</t>
  </si>
  <si>
    <t>Tipo dificultad acceso</t>
  </si>
  <si>
    <t>Descripción</t>
  </si>
  <si>
    <t>Tecnología</t>
  </si>
  <si>
    <t>Dificultad de acceso</t>
  </si>
  <si>
    <t>Tipo de torre</t>
  </si>
  <si>
    <t>Topología de terreno</t>
  </si>
  <si>
    <t xml:space="preserve">Tecnología de acceso </t>
  </si>
  <si>
    <t>Altura de torre</t>
  </si>
  <si>
    <t xml:space="preserve"> mts</t>
  </si>
  <si>
    <t>Tipologia de tecnologia presentada</t>
  </si>
  <si>
    <t>Monopolo o convencional</t>
  </si>
  <si>
    <t>Plano u ondulado</t>
  </si>
  <si>
    <t>15 o 25 KW</t>
  </si>
  <si>
    <t>Número de sectores</t>
  </si>
  <si>
    <t>Diámetro de antena</t>
  </si>
  <si>
    <t>Calidad de servicio</t>
  </si>
  <si>
    <t>Obra civil - Caseta Para Equipos</t>
  </si>
  <si>
    <t>Obra civil - Encerramiento</t>
  </si>
  <si>
    <t>Obra civil - Trasiegos</t>
  </si>
  <si>
    <t>TOTAL CAPEX MEDIA TENSIÓN</t>
  </si>
  <si>
    <t>CONCEPTO</t>
  </si>
  <si>
    <t xml:space="preserve"> mts lineales (500,750,1000,1500+)</t>
  </si>
  <si>
    <t>OBRA CIVIL</t>
  </si>
  <si>
    <t>OPEX GENERAL</t>
  </si>
  <si>
    <t>RED ENERGÍA MT</t>
  </si>
  <si>
    <t>Planta electrica</t>
  </si>
  <si>
    <t xml:space="preserve">Planta eléctrica </t>
  </si>
  <si>
    <t>Tipo de planta BT (KW)</t>
  </si>
  <si>
    <t>Firewall &amp; Caché Server</t>
  </si>
  <si>
    <t>Poste Servidumbre / 5 Años</t>
  </si>
  <si>
    <t>Cable óptico (48 hilos) Troncal/Km (Instalado)</t>
  </si>
  <si>
    <t>Cable óptico Acometida /Mt</t>
  </si>
  <si>
    <t>Pigtail</t>
  </si>
  <si>
    <t>Subscriptores / hogares recomendados</t>
  </si>
  <si>
    <t>Materiales instalación FTTH</t>
  </si>
  <si>
    <t>Incluir</t>
  </si>
  <si>
    <t>Satelital</t>
  </si>
  <si>
    <t>Cargo de activacion</t>
  </si>
  <si>
    <t>FWA</t>
  </si>
  <si>
    <t xml:space="preserve">Tipo 1 Kw (Tipos De Plantas) 25 Kw (   ) </t>
  </si>
  <si>
    <t xml:space="preserve">Tipo 2 Kw (Tipos De Plantas) 25 Kw (   ) </t>
  </si>
  <si>
    <t xml:space="preserve">Tipo 3 Kw (Tipos De Plantas) 25 Kw (   ) </t>
  </si>
  <si>
    <t xml:space="preserve">Tipo 1 Kw (Tipos De Plantas) 15 Kw (   ) </t>
  </si>
  <si>
    <t xml:space="preserve">Tipo 2 Kw (Tipos De Plantas) 15 Kw (   ) </t>
  </si>
  <si>
    <t xml:space="preserve">Tipo 3 Kw (Tipos De Plantas) 15 Kw (   ) </t>
  </si>
  <si>
    <t>Distancia red de MT</t>
  </si>
  <si>
    <t>Relacion contención / Porcentaje de uso</t>
  </si>
  <si>
    <t>Promedio red fija / Promedio red móvil</t>
  </si>
  <si>
    <t>Tipo de red</t>
  </si>
  <si>
    <t>Fija</t>
  </si>
  <si>
    <t>Móvil</t>
  </si>
  <si>
    <t>Eficiencia espectral</t>
  </si>
  <si>
    <t>VSAT</t>
  </si>
  <si>
    <t>Incluir terminal en el modelo</t>
  </si>
  <si>
    <t>Velocidad de transporte Mbps</t>
  </si>
  <si>
    <t>Grupo</t>
  </si>
  <si>
    <t>Descripcion</t>
  </si>
  <si>
    <t>Unidad</t>
  </si>
  <si>
    <t>Tipos</t>
  </si>
  <si>
    <t>Flujo de Caja OPEX</t>
  </si>
  <si>
    <t>Flujo de Caja CAPEX</t>
  </si>
  <si>
    <t>Pagos anuales CAPEX</t>
  </si>
  <si>
    <t>Pagos anuales OPEX</t>
  </si>
  <si>
    <t>CAPEX total</t>
  </si>
  <si>
    <t xml:space="preserve">Costo Energía Eléctrica </t>
  </si>
  <si>
    <t xml:space="preserve">Costo Espectro Radioeléctrico </t>
  </si>
  <si>
    <t>Costo Transporte (Mbps)</t>
  </si>
  <si>
    <t>Repetidora</t>
  </si>
  <si>
    <t>Potencia (W)</t>
  </si>
  <si>
    <t>Factor Potencia de Diseño</t>
  </si>
  <si>
    <t>W</t>
  </si>
  <si>
    <t>Costo</t>
  </si>
  <si>
    <t>W/USD</t>
  </si>
  <si>
    <t>Int.</t>
  </si>
  <si>
    <t>Digital EnodeB</t>
  </si>
  <si>
    <t>Licencias</t>
  </si>
  <si>
    <t>4G / 5G / FWA</t>
  </si>
  <si>
    <t>BW (MHz)</t>
  </si>
  <si>
    <t>Sectores</t>
  </si>
  <si>
    <t>Parametros Energía Solar - Repetidora</t>
  </si>
  <si>
    <t>Energia Solar - Repetidora</t>
  </si>
  <si>
    <t>DL (Valor recomendado)</t>
  </si>
  <si>
    <t>Servicio móvil o fija</t>
  </si>
  <si>
    <t>movil</t>
  </si>
  <si>
    <t>fija</t>
  </si>
  <si>
    <t>Subscriptores / Hogares</t>
  </si>
  <si>
    <t>Costo total por Usuario</t>
  </si>
  <si>
    <t xml:space="preserve">Tipo 1 Kw (Tipos De Plantas) 5 (Kw) </t>
  </si>
  <si>
    <t xml:space="preserve">Tipo 1 Kw (Tipos De Plantas) 15 (Kw) </t>
  </si>
  <si>
    <t xml:space="preserve">Tipo 1 Kw (Tipos De Plantas) 25 (Kw) </t>
  </si>
  <si>
    <t xml:space="preserve">Tipo 2 Kw (Tipos De Plantas) 5 (Kw) </t>
  </si>
  <si>
    <t xml:space="preserve">Tipo 2 Kw (Tipos De Plantas) 15 (Kw) </t>
  </si>
  <si>
    <t xml:space="preserve">Tipo 2 Kw (Tipos De Plantas) 25 (Kw) </t>
  </si>
  <si>
    <t xml:space="preserve">Tipo 3 Kw (Tipos De Plantas) 5 (Kw) </t>
  </si>
  <si>
    <t xml:space="preserve">Tipo 3 Kw (Tipos De Plantas) 15 (Kw) </t>
  </si>
  <si>
    <t xml:space="preserve">Tipo 3 Kw (Tipos De Plantas) 25 (Kw) </t>
  </si>
  <si>
    <t>Tiempo reconocimiento OPEX (Recomendado)</t>
  </si>
  <si>
    <t xml:space="preserve">Frecuencia de enlace F [MHz] </t>
  </si>
  <si>
    <t xml:space="preserve">Fv [1/MHz] </t>
  </si>
  <si>
    <t xml:space="preserve">3 &lt; F = 1.000 </t>
  </si>
  <si>
    <t xml:space="preserve">1.000 &lt; F = 3.000 </t>
  </si>
  <si>
    <t xml:space="preserve">3.000 &lt; F = 3.700 </t>
  </si>
  <si>
    <t xml:space="preserve">3.700 &lt; F = 7100 </t>
  </si>
  <si>
    <t xml:space="preserve">7.100 &lt; F = 14.000 </t>
  </si>
  <si>
    <t xml:space="preserve">14.000 &lt; F = 20.000 </t>
  </si>
  <si>
    <t xml:space="preserve">20.000 &lt; F = 30.000 </t>
  </si>
  <si>
    <t xml:space="preserve">30.000 &lt; F = 70.000 </t>
  </si>
  <si>
    <t xml:space="preserve">70.000 &lt; F = 300.000 </t>
  </si>
  <si>
    <t xml:space="preserve">Valores del factor de valoración de banda Fv </t>
  </si>
  <si>
    <t xml:space="preserve">Ubicación de cada sitio del enlace </t>
  </si>
  <si>
    <t xml:space="preserve">Factor de Priorización Fp </t>
  </si>
  <si>
    <t xml:space="preserve">Departamentos priorizados </t>
  </si>
  <si>
    <t xml:space="preserve">Áreas no identificadas como cabeceras municipales </t>
  </si>
  <si>
    <t xml:space="preserve">Cabeceras municipales que no se ubican en departamentos priorizados </t>
  </si>
  <si>
    <t xml:space="preserve">Enlaces con fecha anterior al 1 de enero de 2020 en la Columna 2C del Cuadro de Características Técnicas de Red </t>
  </si>
  <si>
    <t xml:space="preserve">Valores del factor de priorización (Fp) </t>
  </si>
  <si>
    <t xml:space="preserve">Código DANE del departamento </t>
  </si>
  <si>
    <t xml:space="preserve">Departamento </t>
  </si>
  <si>
    <t xml:space="preserve">Chocó </t>
  </si>
  <si>
    <t xml:space="preserve">La Guajira </t>
  </si>
  <si>
    <t xml:space="preserve">Guainía </t>
  </si>
  <si>
    <t xml:space="preserve">Vaupés </t>
  </si>
  <si>
    <t xml:space="preserve">Vichada </t>
  </si>
  <si>
    <t xml:space="preserve">Cauca </t>
  </si>
  <si>
    <t xml:space="preserve">Guaviare </t>
  </si>
  <si>
    <t xml:space="preserve">Caquetá </t>
  </si>
  <si>
    <t xml:space="preserve">Sucre </t>
  </si>
  <si>
    <t xml:space="preserve">Córdoba </t>
  </si>
  <si>
    <t xml:space="preserve">Putumayo </t>
  </si>
  <si>
    <t xml:space="preserve">Amazonas </t>
  </si>
  <si>
    <t xml:space="preserve">Descripción del criterio </t>
  </si>
  <si>
    <t xml:space="preserve">Condición </t>
  </si>
  <si>
    <t xml:space="preserve">Satisface la distancia mínima del CNABF </t>
  </si>
  <si>
    <t xml:space="preserve">NO Satisface la distancia mínima del CNABF </t>
  </si>
  <si>
    <t xml:space="preserve">Valores del factor de distancia Fd </t>
  </si>
  <si>
    <t>Basado en Resolución 2734 de 2019</t>
  </si>
  <si>
    <t>Calculo del Valor Anual de Contraprestaciones (VAC)</t>
  </si>
  <si>
    <t>Valor publicado por el MINTIC</t>
  </si>
  <si>
    <t>Variable</t>
  </si>
  <si>
    <t>Valores del factor de distancia</t>
  </si>
  <si>
    <t>Otro</t>
  </si>
  <si>
    <t>Eventos mantenimiento &lt;= 2 años</t>
  </si>
  <si>
    <t>Eventos mantenimiento &gt; 2 años</t>
  </si>
  <si>
    <t>Ancho de Banda (MHz)</t>
  </si>
  <si>
    <t>Valores del factor de valoracióńn de banda (MHz)</t>
  </si>
  <si>
    <t>Valor Anual de Contraprestaciones (Para un enlace simétrico - La resolución no es clara en como se aplica para cada segmento)</t>
  </si>
  <si>
    <t>Valores del factor de priorizacióń</t>
  </si>
  <si>
    <t>Modelo Financiero - MinTIC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</si>
</sst>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&quot;??_);_(@_)"/>
    <numFmt numFmtId="169" formatCode="[$-409]mmm\-yy;@"/>
    <numFmt numFmtId="170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62">
    <xf numFmtId="0" fontId="0" fillId="0" borderId="0" xfId="0"/>
    <xf numFmtId="168" fontId="0" fillId="0" borderId="0" xfId="2" applyNumberFormat="1" applyFont="1"/>
    <xf numFmtId="168" fontId="0" fillId="0" borderId="0" xfId="0" applyNumberFormat="1"/>
    <xf numFmtId="14" fontId="0" fillId="0" borderId="0" xfId="0" applyNumberFormat="1"/>
    <xf numFmtId="167" fontId="0" fillId="0" borderId="0" xfId="1" applyNumberFormat="1" applyFont="1"/>
    <xf numFmtId="14" fontId="0" fillId="3" borderId="0" xfId="0" applyNumberFormat="1" applyFill="1"/>
    <xf numFmtId="0" fontId="5" fillId="0" borderId="0" xfId="0" applyFont="1"/>
    <xf numFmtId="0" fontId="3" fillId="4" borderId="0" xfId="0" applyFont="1" applyFill="1"/>
    <xf numFmtId="168" fontId="3" fillId="4" borderId="0" xfId="0" applyNumberFormat="1" applyFont="1" applyFill="1"/>
    <xf numFmtId="10" fontId="0" fillId="3" borderId="0" xfId="3" applyNumberFormat="1" applyFont="1" applyFill="1"/>
    <xf numFmtId="0" fontId="2" fillId="5" borderId="0" xfId="0" applyFont="1" applyFill="1" applyAlignment="1">
      <alignment horizontal="center"/>
    </xf>
    <xf numFmtId="0" fontId="0" fillId="0" borderId="0" xfId="0" applyFill="1"/>
    <xf numFmtId="169" fontId="2" fillId="5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0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6" fillId="0" borderId="0" xfId="0" applyFont="1"/>
    <xf numFmtId="0" fontId="2" fillId="5" borderId="0" xfId="0" applyFont="1" applyFill="1" applyBorder="1" applyAlignment="1">
      <alignment horizontal="center"/>
    </xf>
    <xf numFmtId="168" fontId="2" fillId="5" borderId="0" xfId="2" applyNumberFormat="1" applyFont="1" applyFill="1" applyBorder="1" applyAlignment="1">
      <alignment horizontal="center"/>
    </xf>
    <xf numFmtId="170" fontId="0" fillId="3" borderId="0" xfId="1" applyNumberFormat="1" applyFont="1" applyFill="1"/>
    <xf numFmtId="0" fontId="7" fillId="0" borderId="0" xfId="0" applyFont="1"/>
    <xf numFmtId="0" fontId="3" fillId="0" borderId="0" xfId="0" applyFont="1"/>
    <xf numFmtId="168" fontId="0" fillId="0" borderId="0" xfId="0" applyNumberFormat="1" applyFill="1"/>
    <xf numFmtId="0" fontId="0" fillId="0" borderId="0" xfId="0" applyAlignment="1">
      <alignment horizontal="center"/>
    </xf>
    <xf numFmtId="0" fontId="8" fillId="0" borderId="0" xfId="0" applyFont="1" applyFill="1"/>
    <xf numFmtId="168" fontId="8" fillId="0" borderId="0" xfId="2" applyNumberFormat="1" applyFont="1" applyFill="1"/>
    <xf numFmtId="168" fontId="0" fillId="3" borderId="0" xfId="2" applyNumberFormat="1" applyFont="1" applyFill="1"/>
    <xf numFmtId="0" fontId="8" fillId="0" borderId="0" xfId="0" applyFont="1"/>
    <xf numFmtId="0" fontId="8" fillId="7" borderId="0" xfId="0" applyFont="1" applyFill="1"/>
    <xf numFmtId="0" fontId="2" fillId="5" borderId="1" xfId="0" applyFont="1" applyFill="1" applyBorder="1" applyAlignment="1">
      <alignment horizontal="center"/>
    </xf>
    <xf numFmtId="168" fontId="8" fillId="0" borderId="0" xfId="2" applyNumberFormat="1" applyFont="1" applyFill="1" applyBorder="1"/>
    <xf numFmtId="0" fontId="10" fillId="0" borderId="0" xfId="0" applyFont="1"/>
    <xf numFmtId="0" fontId="2" fillId="5" borderId="5" xfId="0" applyFont="1" applyFill="1" applyBorder="1" applyAlignment="1">
      <alignment horizontal="center"/>
    </xf>
    <xf numFmtId="0" fontId="0" fillId="3" borderId="0" xfId="0" applyFill="1"/>
    <xf numFmtId="168" fontId="8" fillId="6" borderId="0" xfId="2" applyNumberFormat="1" applyFont="1" applyFill="1"/>
    <xf numFmtId="0" fontId="0" fillId="0" borderId="0" xfId="0" applyAlignment="1">
      <alignment horizontal="left"/>
    </xf>
    <xf numFmtId="168" fontId="8" fillId="7" borderId="0" xfId="2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4" xfId="0" applyFont="1" applyFill="1" applyBorder="1"/>
    <xf numFmtId="0" fontId="0" fillId="0" borderId="5" xfId="0" applyBorder="1"/>
    <xf numFmtId="0" fontId="3" fillId="0" borderId="14" xfId="0" applyFont="1" applyBorder="1"/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0" xfId="0" applyFont="1" applyFill="1"/>
    <xf numFmtId="168" fontId="9" fillId="0" borderId="0" xfId="2" applyNumberFormat="1" applyFont="1" applyFill="1"/>
    <xf numFmtId="10" fontId="10" fillId="0" borderId="0" xfId="0" applyNumberFormat="1" applyFont="1"/>
    <xf numFmtId="166" fontId="10" fillId="0" borderId="0" xfId="0" applyNumberFormat="1" applyFont="1"/>
    <xf numFmtId="0" fontId="11" fillId="0" borderId="0" xfId="0" applyFont="1"/>
    <xf numFmtId="10" fontId="11" fillId="0" borderId="0" xfId="0" applyNumberFormat="1" applyFont="1"/>
    <xf numFmtId="166" fontId="11" fillId="0" borderId="0" xfId="0" applyNumberFormat="1" applyFont="1"/>
    <xf numFmtId="166" fontId="0" fillId="0" borderId="0" xfId="0" applyNumberFormat="1"/>
    <xf numFmtId="0" fontId="2" fillId="5" borderId="4" xfId="0" applyFont="1" applyFill="1" applyBorder="1" applyAlignment="1">
      <alignment horizontal="center"/>
    </xf>
    <xf numFmtId="0" fontId="0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8" fontId="8" fillId="6" borderId="0" xfId="2" applyNumberFormat="1" applyFont="1" applyFill="1" applyBorder="1"/>
    <xf numFmtId="0" fontId="0" fillId="0" borderId="6" xfId="0" applyFill="1" applyBorder="1"/>
    <xf numFmtId="0" fontId="0" fillId="0" borderId="12" xfId="0" applyFill="1" applyBorder="1"/>
    <xf numFmtId="0" fontId="2" fillId="5" borderId="14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168" fontId="0" fillId="6" borderId="0" xfId="2" applyNumberFormat="1" applyFont="1" applyFill="1"/>
    <xf numFmtId="168" fontId="8" fillId="0" borderId="0" xfId="2" applyNumberFormat="1" applyFont="1" applyFill="1" applyBorder="1" applyAlignment="1">
      <alignment horizontal="left"/>
    </xf>
    <xf numFmtId="168" fontId="8" fillId="3" borderId="0" xfId="2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8" fontId="8" fillId="0" borderId="0" xfId="0" applyNumberFormat="1" applyFont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168" fontId="8" fillId="7" borderId="0" xfId="2" applyNumberFormat="1" applyFont="1" applyFill="1"/>
    <xf numFmtId="168" fontId="8" fillId="3" borderId="0" xfId="2" applyNumberFormat="1" applyFont="1" applyFill="1"/>
    <xf numFmtId="0" fontId="8" fillId="0" borderId="0" xfId="4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Fill="1" applyBorder="1"/>
    <xf numFmtId="0" fontId="9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9" xfId="0" applyFont="1" applyFill="1" applyBorder="1"/>
    <xf numFmtId="0" fontId="9" fillId="0" borderId="6" xfId="0" applyFont="1" applyFill="1" applyBorder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8" fillId="0" borderId="14" xfId="0" applyFont="1" applyFill="1" applyBorder="1" applyAlignment="1">
      <alignment horizontal="left"/>
    </xf>
    <xf numFmtId="0" fontId="3" fillId="10" borderId="0" xfId="0" applyFont="1" applyFill="1"/>
    <xf numFmtId="168" fontId="3" fillId="10" borderId="0" xfId="0" applyNumberFormat="1" applyFont="1" applyFill="1"/>
    <xf numFmtId="9" fontId="0" fillId="0" borderId="0" xfId="0" applyNumberFormat="1"/>
    <xf numFmtId="0" fontId="7" fillId="0" borderId="8" xfId="0" applyFont="1" applyFill="1" applyBorder="1"/>
    <xf numFmtId="0" fontId="7" fillId="0" borderId="13" xfId="0" applyFont="1" applyFill="1" applyBorder="1"/>
    <xf numFmtId="0" fontId="7" fillId="0" borderId="11" xfId="0" applyFont="1" applyFill="1" applyBorder="1"/>
    <xf numFmtId="170" fontId="0" fillId="7" borderId="0" xfId="1" applyNumberFormat="1" applyFont="1" applyFill="1"/>
    <xf numFmtId="168" fontId="0" fillId="7" borderId="0" xfId="0" applyNumberFormat="1" applyFill="1"/>
    <xf numFmtId="10" fontId="0" fillId="7" borderId="0" xfId="0" applyNumberFormat="1" applyFill="1"/>
    <xf numFmtId="168" fontId="0" fillId="7" borderId="0" xfId="2" applyNumberFormat="1" applyFont="1" applyFill="1"/>
    <xf numFmtId="168" fontId="3" fillId="7" borderId="0" xfId="2" applyNumberFormat="1" applyFont="1" applyFill="1"/>
    <xf numFmtId="0" fontId="8" fillId="0" borderId="6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5" xfId="0" applyFont="1" applyFill="1" applyBorder="1"/>
    <xf numFmtId="0" fontId="8" fillId="11" borderId="7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9" fontId="8" fillId="11" borderId="13" xfId="3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168" fontId="8" fillId="0" borderId="0" xfId="2" applyNumberFormat="1" applyFont="1"/>
    <xf numFmtId="0" fontId="7" fillId="0" borderId="0" xfId="0" applyFont="1" applyFill="1"/>
    <xf numFmtId="170" fontId="7" fillId="0" borderId="0" xfId="1" applyNumberFormat="1" applyFont="1" applyFill="1"/>
    <xf numFmtId="0" fontId="7" fillId="0" borderId="5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0" fillId="0" borderId="0" xfId="0" applyFont="1"/>
    <xf numFmtId="0" fontId="2" fillId="5" borderId="0" xfId="0" applyFont="1" applyFill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center"/>
    </xf>
    <xf numFmtId="0" fontId="14" fillId="0" borderId="0" xfId="0" applyFont="1"/>
    <xf numFmtId="0" fontId="0" fillId="7" borderId="0" xfId="0" applyFill="1" applyAlignment="1">
      <alignment horizontal="right"/>
    </xf>
    <xf numFmtId="168" fontId="0" fillId="3" borderId="0" xfId="2" applyNumberFormat="1" applyFont="1" applyFill="1" applyAlignment="1">
      <alignment horizontal="right"/>
    </xf>
    <xf numFmtId="0" fontId="8" fillId="11" borderId="8" xfId="0" applyFont="1" applyFill="1" applyBorder="1" applyAlignment="1">
      <alignment horizontal="center"/>
    </xf>
    <xf numFmtId="0" fontId="7" fillId="0" borderId="15" xfId="0" applyFont="1" applyFill="1" applyBorder="1"/>
    <xf numFmtId="0" fontId="8" fillId="0" borderId="7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168" fontId="3" fillId="7" borderId="0" xfId="2" applyNumberFormat="1" applyFont="1" applyFill="1" applyAlignment="1">
      <alignment horizontal="right"/>
    </xf>
    <xf numFmtId="0" fontId="8" fillId="11" borderId="11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 2 10 10" xfId="4" xr:uid="{2BBE08C9-5239-D54C-BEB1-7B5528408986}"/>
    <cellStyle name="Porcentaje" xfId="3" builtinId="5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Resultados!$A$1</c:f>
              <c:strCache>
                <c:ptCount val="1"/>
                <c:pt idx="0">
                  <c:v>Resultados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771-994B-A0E6-7942108B02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771-994B-A0E6-7942108B02A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Resultados!$A$4:$A$5</c:f>
              <c:strCache>
                <c:ptCount val="2"/>
                <c:pt idx="0">
                  <c:v>CAPEX</c:v>
                </c:pt>
                <c:pt idx="1">
                  <c:v>OPEX</c:v>
                </c:pt>
              </c:strCache>
            </c:strRef>
          </c:cat>
          <c:val>
            <c:numRef>
              <c:f>Resultados!$B$4:$B$5</c:f>
              <c:numCache>
                <c:formatCode>"$"#,##0_);[Red]\("$"#,##0\)</c:formatCode>
                <c:ptCount val="2"/>
                <c:pt idx="0">
                  <c:v>640850139.35676837</c:v>
                </c:pt>
                <c:pt idx="1">
                  <c:v>990181359.11630642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2-FC4B-9466-E3731BBD84F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330360</xdr:colOff>
      <xdr:row>5</xdr:row>
      <xdr:rowOff>175710</xdr:rowOff>
    </xdr:from>
    <xdr:to>
      <xdr:col>4</xdr:col>
      <xdr:colOff>738689</xdr:colOff>
      <xdr:row>19</xdr:row>
      <xdr:rowOff>105619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CFE51B-F84E-7D41-AADA-5CA3951D0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uanalvaradopineda\Downloads\Entrega%20de%20Informacio&#769;n%20para%20Ana&#769;lisis%20dic2019\Metodologi&#769;a%20y%20Proyectos%20cuantificados%20CRC\01%20Analisis%20de%20Costos%20Quebrada%20Honda%20V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Generale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uan Reinel Alvarado Pineda" id="{30F7295E-482B-B448-A372-58BEF65B7B0E}" userId="S::juan.alvarado@rhsmith.umd.edu::0b353610-f80e-408a-b887-079a8dc939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3" dT="2020-03-24T17:55:15.19" personId="{30F7295E-482B-B448-A372-58BEF65B7B0E}" id="{22A0B8CF-A5E4-2F46-924D-FAEA428D126C}">
    <text>Se utiliza un año 11 para completar 10 años en la totalidad del proyecto. De acuerdo al mes de inicio en el año 1</text>
  </threadedComment>
  <threadedComment ref="B6" dT="2020-03-16T14:35:53.75" personId="{30F7295E-482B-B448-A372-58BEF65B7B0E}" id="{B17C2C18-92E5-874E-9CB7-3B645A63D2F2}">
    <text>Res 895 de 2016</text>
  </threadedComment>
  <threadedComment ref="A20" dT="2020-05-19T16:24:36.23" personId="{30F7295E-482B-B448-A372-58BEF65B7B0E}" id="{9F347EDC-DA82-D442-A5EC-71828CD976AC}">
    <text>Verificar nombre</text>
  </threadedComment>
  <threadedComment ref="A21" dT="2020-06-22T17:12:55.29" personId="{30F7295E-482B-B448-A372-58BEF65B7B0E}" id="{1252E521-9220-114D-8819-F7D448080962}">
    <text>Incluye instalación</text>
  </threadedComment>
  <threadedComment ref="A22" dT="2020-06-22T17:13:02.40" personId="{30F7295E-482B-B448-A372-58BEF65B7B0E}" id="{D7C35B69-8B7E-2843-B7D9-AB7C42D50AE8}">
    <text>Incluye instalación</text>
  </threadedComment>
  <threadedComment ref="A36" dT="2020-06-22T17:13:11.85" personId="{30F7295E-482B-B448-A372-58BEF65B7B0E}" id="{30C5FC8D-3B15-184C-A06D-4D274AD577FB}">
    <text>Incluye instalación</text>
  </threadedComment>
  <threadedComment ref="A37" dT="2020-06-22T17:13:17.57" personId="{30F7295E-482B-B448-A372-58BEF65B7B0E}" id="{17E96D4A-8B6A-9346-9076-48FCFFE8F888}">
    <text>Incluye instalación</text>
  </threadedComment>
  <threadedComment ref="A38" dT="2020-06-22T17:13:23.00" personId="{30F7295E-482B-B448-A372-58BEF65B7B0E}" id="{7EADA78D-C29F-6B45-9865-2838F5ECBAD2}">
    <text>Incluye instalación</text>
  </threadedComment>
  <threadedComment ref="A39" dT="2020-06-22T17:13:28.61" personId="{30F7295E-482B-B448-A372-58BEF65B7B0E}" id="{B7CCDB70-465A-B046-839F-80B107F59F2D}">
    <text>Incluye instalación</text>
  </threadedComment>
  <threadedComment ref="A40" dT="2020-06-22T17:13:38.37" personId="{30F7295E-482B-B448-A372-58BEF65B7B0E}" id="{763D5FFF-F28E-5E4F-95C0-E8CC9B715463}">
    <text>Incluye instalación</text>
  </threadedComment>
  <threadedComment ref="A41" dT="2020-06-22T17:13:44.54" personId="{30F7295E-482B-B448-A372-58BEF65B7B0E}" id="{437915A6-FCFD-CF43-A349-2D0F894E43AE}">
    <text>Incluye instalación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731" dT="2020-05-07T16:24:58.75" personId="{30F7295E-482B-B448-A372-58BEF65B7B0E}" id="{6BCE3E85-8CC7-B449-B72E-802849BB6F2D}">
    <text>Asuminendo KWh a 600 COP</text>
  </threadedComment>
  <threadedComment ref="H731" dT="2020-05-07T16:25:22.24" personId="{30F7295E-482B-B448-A372-58BEF65B7B0E}" id="{D0C320C6-76CD-D640-A256-A240C7A1BF75}" parentId="{6BCE3E85-8CC7-B449-B72E-802849BB6F2D}">
    <text>5 KWh promedio</text>
  </threadedComment>
  <threadedComment ref="C965" dT="2020-05-07T17:10:02.51" personId="{30F7295E-482B-B448-A372-58BEF65B7B0E}" id="{BAE52AD7-EBB4-0940-9F9F-8BA7582E9848}">
    <text>Separar por tipo de acceso. Dejar opcion de incluir o no en el modelo</text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6D83-35B4-AA4A-ACA1-83318E0B4AF4}">
  <sheetPr codeName="Sheet1"/>
  <dimension ref="A1:M81"/>
  <sheetViews>
    <sheetView showGridLines="0" tabSelected="1" zoomScale="85" zoomScaleNormal="85" workbookViewId="0">
      <selection activeCell="A6" sqref="A6"/>
    </sheetView>
  </sheetViews>
  <sheetFormatPr baseColWidth="10" defaultColWidth="10.875" defaultRowHeight="15.75" x14ac:dyDescent="0.25"/>
  <cols>
    <col min="1" max="1" width="29.875" bestFit="1" customWidth="1"/>
    <col min="2" max="2" width="34.875" bestFit="1" customWidth="1"/>
    <col min="3" max="3" width="6.375" bestFit="1" customWidth="1"/>
    <col min="4" max="4" width="29.625" customWidth="1"/>
    <col min="5" max="5" width="37.125" bestFit="1" customWidth="1"/>
    <col min="6" max="6" width="26.375" hidden="1" customWidth="1"/>
    <col min="7" max="8" width="10.875" customWidth="1"/>
    <col min="9" max="9" width="13.875" customWidth="1"/>
    <col min="10" max="10" width="10.875" customWidth="1"/>
    <col min="11" max="11" width="54.625" customWidth="1"/>
    <col min="12" max="12" width="10.875" customWidth="1"/>
    <col min="13" max="13" width="12.875" customWidth="1"/>
  </cols>
  <sheetData>
    <row r="1" spans="1:6" ht="21" x14ac:dyDescent="0.35">
      <c r="A1" s="18" t="s">
        <v>227</v>
      </c>
    </row>
    <row r="2" spans="1:6" ht="16.5" thickBot="1" x14ac:dyDescent="0.3"/>
    <row r="3" spans="1:6" ht="16.5" thickBot="1" x14ac:dyDescent="0.3">
      <c r="A3" s="31" t="s">
        <v>79</v>
      </c>
      <c r="B3" s="31" t="s">
        <v>69</v>
      </c>
      <c r="C3" s="65" t="s">
        <v>270</v>
      </c>
      <c r="D3" s="31" t="s">
        <v>8</v>
      </c>
      <c r="E3" s="31" t="s">
        <v>236</v>
      </c>
      <c r="F3" s="57" t="s">
        <v>71</v>
      </c>
    </row>
    <row r="4" spans="1:6" ht="16.5" thickBot="1" x14ac:dyDescent="0.3">
      <c r="A4" s="43" t="s">
        <v>226</v>
      </c>
      <c r="B4" s="63" t="s">
        <v>237</v>
      </c>
      <c r="C4" s="151" t="s">
        <v>120</v>
      </c>
      <c r="D4" s="152"/>
      <c r="E4" s="39" t="s">
        <v>244</v>
      </c>
      <c r="F4" s="39" t="s">
        <v>72</v>
      </c>
    </row>
    <row r="5" spans="1:6" ht="16.5" thickBot="1" x14ac:dyDescent="0.3">
      <c r="A5" s="44"/>
      <c r="B5" s="64" t="s">
        <v>238</v>
      </c>
      <c r="C5" s="151">
        <v>1</v>
      </c>
      <c r="D5" s="152"/>
      <c r="E5" s="48" t="str">
        <f>+IF(TipoEspecifico=1,"Acceso Facil",IF(TipoEspecifico=2,"Acceso Dificil","Complejo"))</f>
        <v>Acceso Facil</v>
      </c>
      <c r="F5" s="41" t="s">
        <v>72</v>
      </c>
    </row>
    <row r="6" spans="1:6" ht="16.5" thickBot="1" x14ac:dyDescent="0.3">
      <c r="A6" s="44"/>
      <c r="B6" s="64" t="s">
        <v>283</v>
      </c>
      <c r="C6" s="151" t="s">
        <v>285</v>
      </c>
      <c r="D6" s="152"/>
      <c r="E6" s="48" t="s">
        <v>317</v>
      </c>
      <c r="F6" s="41"/>
    </row>
    <row r="7" spans="1:6" x14ac:dyDescent="0.25">
      <c r="A7" s="45" t="s">
        <v>68</v>
      </c>
      <c r="B7" s="63" t="s">
        <v>242</v>
      </c>
      <c r="C7" s="69" t="s">
        <v>51</v>
      </c>
      <c r="D7" s="46">
        <v>30</v>
      </c>
      <c r="E7" s="39" t="s">
        <v>243</v>
      </c>
      <c r="F7" s="42" t="str">
        <f>+IF(C7="N","",IF(D7="","",IF(AND(D7&gt;=12,D7&lt;=18),"12-18",IF(AND(D7&gt;=19,D7&lt;=35),"19-35",IF(AND(D7&gt;=36,D7&lt;=45),"36-45",IF(AND(D7&gt;=46,D7&lt;=60),"46-60",IF(D7&gt;60,90,"Verificar")))))))</f>
        <v>19-35</v>
      </c>
    </row>
    <row r="8" spans="1:6" x14ac:dyDescent="0.25">
      <c r="A8" s="44"/>
      <c r="B8" s="64" t="s">
        <v>239</v>
      </c>
      <c r="C8" s="115"/>
      <c r="D8" s="47" t="s">
        <v>135</v>
      </c>
      <c r="E8" s="48" t="s">
        <v>245</v>
      </c>
      <c r="F8" s="41" t="s">
        <v>72</v>
      </c>
    </row>
    <row r="9" spans="1:6" x14ac:dyDescent="0.25">
      <c r="A9" s="44"/>
      <c r="B9" s="89" t="s">
        <v>376</v>
      </c>
      <c r="C9" s="115"/>
      <c r="D9" s="47">
        <v>0</v>
      </c>
      <c r="E9" s="48"/>
      <c r="F9" s="41"/>
    </row>
    <row r="10" spans="1:6" ht="16.5" thickBot="1" x14ac:dyDescent="0.3">
      <c r="A10" s="85"/>
      <c r="B10" s="89" t="s">
        <v>377</v>
      </c>
      <c r="C10" s="121"/>
      <c r="D10" s="126">
        <v>2</v>
      </c>
      <c r="E10" s="108" t="s">
        <v>163</v>
      </c>
      <c r="F10" s="40"/>
    </row>
    <row r="11" spans="1:6" x14ac:dyDescent="0.25">
      <c r="A11" s="91" t="s">
        <v>121</v>
      </c>
      <c r="B11" s="107" t="s">
        <v>240</v>
      </c>
      <c r="C11" s="69" t="s">
        <v>51</v>
      </c>
      <c r="D11" s="110" t="s">
        <v>124</v>
      </c>
      <c r="E11" s="93" t="s">
        <v>246</v>
      </c>
      <c r="F11" s="42" t="str">
        <f>+"Terreno "&amp;Tipo_Terreno</f>
        <v>Terreno Plano</v>
      </c>
    </row>
    <row r="12" spans="1:6" x14ac:dyDescent="0.25">
      <c r="A12" s="89"/>
      <c r="B12" s="89" t="s">
        <v>280</v>
      </c>
      <c r="C12" s="115"/>
      <c r="D12" s="111">
        <v>500</v>
      </c>
      <c r="E12" s="88" t="s">
        <v>256</v>
      </c>
      <c r="F12" s="41">
        <f>+IF(D12="","",IF(D12&lt;=500,500,IF(AND(D12&gt;500,D12&lt;=1000),1000,IF(D12&gt;1000,1500,"Verificar"))))</f>
        <v>500</v>
      </c>
    </row>
    <row r="13" spans="1:6" ht="16.5" thickBot="1" x14ac:dyDescent="0.3">
      <c r="A13" s="89"/>
      <c r="B13" s="89" t="s">
        <v>164</v>
      </c>
      <c r="C13" s="115"/>
      <c r="D13" s="111">
        <v>25</v>
      </c>
      <c r="E13" s="88" t="s">
        <v>247</v>
      </c>
      <c r="F13" s="40" t="s">
        <v>72</v>
      </c>
    </row>
    <row r="14" spans="1:6" x14ac:dyDescent="0.25">
      <c r="A14" s="89"/>
      <c r="B14" s="89" t="s">
        <v>376</v>
      </c>
      <c r="C14" s="115"/>
      <c r="D14" s="125">
        <v>0</v>
      </c>
      <c r="E14" s="88"/>
      <c r="F14" s="41"/>
    </row>
    <row r="15" spans="1:6" x14ac:dyDescent="0.25">
      <c r="A15" s="89"/>
      <c r="B15" s="89" t="s">
        <v>377</v>
      </c>
      <c r="C15" s="115"/>
      <c r="D15" s="125">
        <v>2</v>
      </c>
      <c r="E15" s="88"/>
      <c r="F15" s="41"/>
    </row>
    <row r="16" spans="1:6" ht="16.5" thickBot="1" x14ac:dyDescent="0.3">
      <c r="A16" s="90"/>
      <c r="B16" s="90" t="s">
        <v>261</v>
      </c>
      <c r="C16" s="70" t="s">
        <v>51</v>
      </c>
      <c r="D16" s="112">
        <v>25</v>
      </c>
      <c r="E16" s="87" t="s">
        <v>262</v>
      </c>
      <c r="F16" s="41"/>
    </row>
    <row r="17" spans="1:7" x14ac:dyDescent="0.25">
      <c r="A17" s="85" t="s">
        <v>311</v>
      </c>
      <c r="B17" s="89" t="s">
        <v>312</v>
      </c>
      <c r="C17" s="69" t="s">
        <v>51</v>
      </c>
      <c r="D17" s="113">
        <v>30</v>
      </c>
      <c r="E17" s="108" t="s">
        <v>241</v>
      </c>
      <c r="F17" s="42">
        <f>+TmcBw*SectorEnodeb*D25*IF(C6="Fija",1,0.5)</f>
        <v>585</v>
      </c>
    </row>
    <row r="18" spans="1:7" x14ac:dyDescent="0.25">
      <c r="A18" s="109"/>
      <c r="B18" s="89" t="s">
        <v>313</v>
      </c>
      <c r="C18" s="115"/>
      <c r="D18" s="113">
        <v>3</v>
      </c>
      <c r="E18" s="108" t="s">
        <v>248</v>
      </c>
      <c r="F18" s="41"/>
    </row>
    <row r="19" spans="1:7" x14ac:dyDescent="0.25">
      <c r="A19" s="109"/>
      <c r="B19" s="89" t="s">
        <v>376</v>
      </c>
      <c r="C19" s="115"/>
      <c r="D19" s="113">
        <v>0</v>
      </c>
      <c r="E19" s="108"/>
      <c r="F19" s="41"/>
    </row>
    <row r="20" spans="1:7" x14ac:dyDescent="0.25">
      <c r="A20" s="109"/>
      <c r="B20" s="89" t="s">
        <v>377</v>
      </c>
      <c r="C20" s="115"/>
      <c r="D20" s="113">
        <v>2</v>
      </c>
      <c r="E20" s="108"/>
      <c r="F20" s="41"/>
    </row>
    <row r="21" spans="1:7" ht="16.5" thickBot="1" x14ac:dyDescent="0.3">
      <c r="A21" s="109"/>
      <c r="B21" s="89" t="s">
        <v>281</v>
      </c>
      <c r="C21" s="115"/>
      <c r="D21" s="114">
        <v>0.3</v>
      </c>
      <c r="E21" s="108" t="s">
        <v>282</v>
      </c>
      <c r="F21" s="41"/>
    </row>
    <row r="22" spans="1:7" x14ac:dyDescent="0.25">
      <c r="A22" s="94" t="s">
        <v>234</v>
      </c>
      <c r="B22" s="143" t="s">
        <v>249</v>
      </c>
      <c r="C22" s="69" t="s">
        <v>51</v>
      </c>
      <c r="D22" s="146">
        <v>1.2</v>
      </c>
      <c r="E22" s="93" t="s">
        <v>243</v>
      </c>
      <c r="F22" s="42" t="s">
        <v>72</v>
      </c>
    </row>
    <row r="23" spans="1:7" ht="16.5" thickBot="1" x14ac:dyDescent="0.3">
      <c r="A23" s="142"/>
      <c r="B23" s="60" t="s">
        <v>225</v>
      </c>
      <c r="C23" s="121"/>
      <c r="D23" s="113" t="s">
        <v>230</v>
      </c>
      <c r="E23" s="87" t="s">
        <v>229</v>
      </c>
      <c r="F23" s="40"/>
    </row>
    <row r="24" spans="1:7" x14ac:dyDescent="0.25">
      <c r="A24" s="94" t="s">
        <v>140</v>
      </c>
      <c r="B24" s="122" t="s">
        <v>250</v>
      </c>
      <c r="C24" s="116"/>
      <c r="D24" s="141" t="s">
        <v>155</v>
      </c>
      <c r="E24" s="59" t="s">
        <v>156</v>
      </c>
      <c r="F24" s="41" t="str">
        <f>+LEFT(Velocidad_Capacidad,2)</f>
        <v>20</v>
      </c>
    </row>
    <row r="25" spans="1:7" ht="16.5" thickBot="1" x14ac:dyDescent="0.3">
      <c r="A25" s="86"/>
      <c r="B25" s="123" t="s">
        <v>286</v>
      </c>
      <c r="C25" s="117"/>
      <c r="D25" s="149">
        <f>IF(Tipologia_Campo="TMC 4G",IF(TipoRed="Fija",VLOOKUP(Tipologia_Campo,$K$49:$M$54,3,0),VLOOKUP(Tipologia_Campo,$K$49:$M$54,2,0)),VLOOKUP(Tipologia_Campo,$K$49:$M$54,3,0))</f>
        <v>13</v>
      </c>
      <c r="E25" s="124" t="s">
        <v>316</v>
      </c>
      <c r="F25" s="40"/>
    </row>
    <row r="26" spans="1:7" ht="16.5" thickBot="1" x14ac:dyDescent="0.3">
      <c r="A26" s="85" t="s">
        <v>271</v>
      </c>
      <c r="B26" s="92" t="s">
        <v>287</v>
      </c>
      <c r="C26" s="144" t="s">
        <v>51</v>
      </c>
      <c r="D26" s="93"/>
      <c r="E26" s="93" t="s">
        <v>288</v>
      </c>
      <c r="F26" s="84"/>
    </row>
    <row r="27" spans="1:7" x14ac:dyDescent="0.25">
      <c r="A27" s="94" t="s">
        <v>273</v>
      </c>
      <c r="B27" s="95" t="s">
        <v>137</v>
      </c>
      <c r="C27" s="145" t="s">
        <v>52</v>
      </c>
      <c r="D27" s="150" t="str">
        <f>+IFERROR(ROUND(IF(C27="N","",Modelo!B13),0),"")</f>
        <v/>
      </c>
      <c r="E27" s="93" t="s">
        <v>320</v>
      </c>
      <c r="F27" s="83" t="s">
        <v>72</v>
      </c>
      <c r="G27" s="67"/>
    </row>
    <row r="28" spans="1:7" x14ac:dyDescent="0.25">
      <c r="A28" s="66" t="str">
        <f>+IF(Tipologia_Campo&lt;&gt;"FTTH","","FTTH")</f>
        <v/>
      </c>
      <c r="B28" s="67"/>
      <c r="C28" s="67"/>
      <c r="D28" s="67"/>
      <c r="E28" s="67"/>
      <c r="F28" s="67"/>
      <c r="G28" s="67"/>
    </row>
    <row r="29" spans="1:7" x14ac:dyDescent="0.25">
      <c r="A29" s="67" t="str">
        <f>+IF(Tipologia_Campo&lt;&gt;"FTTH","","Longitud Backhaul (Km)")</f>
        <v/>
      </c>
      <c r="B29" s="67"/>
      <c r="C29" s="67"/>
      <c r="D29" s="67"/>
      <c r="E29" s="67"/>
      <c r="F29" s="67"/>
      <c r="G29" s="67"/>
    </row>
    <row r="30" spans="1:7" x14ac:dyDescent="0.25">
      <c r="A30" s="67" t="str">
        <f>+IF(Tipologia_Campo&lt;&gt;"FTTH","","Cantidad Postes")</f>
        <v/>
      </c>
      <c r="B30" s="67"/>
      <c r="C30" s="67"/>
      <c r="D30" s="67"/>
      <c r="E30" s="67"/>
      <c r="F30" s="67"/>
      <c r="G30" s="67"/>
    </row>
    <row r="31" spans="1:7" x14ac:dyDescent="0.25">
      <c r="A31" s="67" t="str">
        <f>+IF(Tipologia_Campo&lt;&gt;"FTTH","","Splitters")</f>
        <v/>
      </c>
      <c r="B31" s="67"/>
      <c r="C31" s="67"/>
      <c r="D31" s="67"/>
      <c r="E31" s="67"/>
      <c r="F31" s="67"/>
      <c r="G31" s="67"/>
    </row>
    <row r="32" spans="1:7" x14ac:dyDescent="0.25">
      <c r="A32" s="67" t="str">
        <f>+IF(Tipologia_Campo&lt;&gt;"FTTH","","Longitud Acometida (Metros / Hogar)")</f>
        <v/>
      </c>
      <c r="B32" s="67"/>
      <c r="C32" s="67"/>
      <c r="D32" s="67"/>
      <c r="E32" s="67"/>
      <c r="F32" s="67"/>
      <c r="G32" s="67"/>
    </row>
    <row r="33" spans="1:13" ht="16.5" thickBot="1" x14ac:dyDescent="0.3">
      <c r="A33" s="67" t="s">
        <v>289</v>
      </c>
      <c r="B33" s="67"/>
      <c r="C33" s="67"/>
      <c r="D33" s="67"/>
      <c r="E33" s="67"/>
      <c r="F33" s="67"/>
      <c r="G33" s="67"/>
    </row>
    <row r="34" spans="1:13" x14ac:dyDescent="0.25">
      <c r="A34" s="66" t="s">
        <v>314</v>
      </c>
      <c r="B34" s="67" t="s">
        <v>303</v>
      </c>
      <c r="C34" s="83" t="str">
        <f>+IF(Tipologia_Campo="Repetidora","S","N")</f>
        <v>N</v>
      </c>
      <c r="D34" s="83"/>
      <c r="E34" s="83" t="s">
        <v>305</v>
      </c>
      <c r="F34" s="99"/>
      <c r="G34" s="67"/>
    </row>
    <row r="35" spans="1:13" x14ac:dyDescent="0.25">
      <c r="A35" s="66"/>
      <c r="B35" s="67" t="s">
        <v>306</v>
      </c>
      <c r="C35" s="67"/>
      <c r="D35" s="83"/>
      <c r="E35" s="83" t="s">
        <v>307</v>
      </c>
      <c r="F35" s="100"/>
      <c r="G35" s="67"/>
    </row>
    <row r="36" spans="1:13" ht="16.5" thickBot="1" x14ac:dyDescent="0.3">
      <c r="A36" s="67"/>
      <c r="B36" s="67" t="s">
        <v>304</v>
      </c>
      <c r="C36" s="67"/>
      <c r="D36" s="83"/>
      <c r="E36" s="83" t="s">
        <v>308</v>
      </c>
      <c r="F36" s="101"/>
      <c r="G36" s="67"/>
    </row>
    <row r="48" spans="1:13" x14ac:dyDescent="0.25">
      <c r="A48" s="10" t="s">
        <v>73</v>
      </c>
      <c r="D48" s="10" t="s">
        <v>74</v>
      </c>
      <c r="E48" s="10"/>
      <c r="G48" s="10" t="s">
        <v>77</v>
      </c>
      <c r="I48" s="10" t="s">
        <v>126</v>
      </c>
      <c r="K48" s="10" t="s">
        <v>129</v>
      </c>
      <c r="L48" s="10" t="s">
        <v>318</v>
      </c>
      <c r="M48" s="10" t="s">
        <v>319</v>
      </c>
    </row>
    <row r="49" spans="1:13" x14ac:dyDescent="0.25">
      <c r="A49" s="10"/>
      <c r="D49" s="10"/>
      <c r="E49" s="10"/>
      <c r="G49" s="10"/>
      <c r="I49" s="10"/>
      <c r="K49" t="s">
        <v>81</v>
      </c>
      <c r="L49">
        <v>1.7</v>
      </c>
      <c r="M49">
        <v>13</v>
      </c>
    </row>
    <row r="50" spans="1:13" x14ac:dyDescent="0.25">
      <c r="A50" s="25">
        <v>10</v>
      </c>
      <c r="B50" s="25"/>
      <c r="C50" s="25"/>
      <c r="D50" s="25">
        <v>1.2</v>
      </c>
      <c r="E50" s="25"/>
      <c r="F50" s="25"/>
      <c r="G50" s="25" t="s">
        <v>75</v>
      </c>
      <c r="I50" s="25">
        <v>15</v>
      </c>
      <c r="K50" t="s">
        <v>109</v>
      </c>
      <c r="L50">
        <v>0</v>
      </c>
      <c r="M50">
        <v>0</v>
      </c>
    </row>
    <row r="51" spans="1:13" x14ac:dyDescent="0.25">
      <c r="A51" s="25">
        <v>20</v>
      </c>
      <c r="B51" s="25"/>
      <c r="C51" s="25"/>
      <c r="D51" s="25">
        <v>1.8</v>
      </c>
      <c r="E51" s="25"/>
      <c r="F51" s="25"/>
      <c r="G51" s="25" t="s">
        <v>76</v>
      </c>
      <c r="I51" s="25">
        <v>25</v>
      </c>
      <c r="K51" t="s">
        <v>117</v>
      </c>
      <c r="M51">
        <v>7</v>
      </c>
    </row>
    <row r="52" spans="1:13" x14ac:dyDescent="0.25">
      <c r="A52" s="25">
        <v>30</v>
      </c>
      <c r="B52" s="25"/>
      <c r="C52" s="25"/>
      <c r="D52" s="25">
        <v>2.4</v>
      </c>
      <c r="E52" s="25"/>
      <c r="F52" s="25"/>
      <c r="G52" s="25"/>
      <c r="K52" t="s">
        <v>113</v>
      </c>
      <c r="M52">
        <v>7</v>
      </c>
    </row>
    <row r="53" spans="1:13" x14ac:dyDescent="0.25">
      <c r="A53" s="25"/>
      <c r="B53" s="25"/>
      <c r="C53" s="25"/>
      <c r="D53" s="25">
        <v>3.7</v>
      </c>
      <c r="E53" s="25"/>
      <c r="F53" s="25"/>
      <c r="G53" s="25"/>
      <c r="K53" t="s">
        <v>120</v>
      </c>
      <c r="M53">
        <v>13</v>
      </c>
    </row>
    <row r="54" spans="1:13" x14ac:dyDescent="0.25">
      <c r="A54" s="25"/>
      <c r="B54" s="25"/>
      <c r="C54" s="25"/>
      <c r="D54" s="25"/>
      <c r="E54" s="25"/>
      <c r="F54" s="25"/>
      <c r="G54" s="25"/>
      <c r="K54" t="s">
        <v>302</v>
      </c>
    </row>
    <row r="55" spans="1:13" x14ac:dyDescent="0.25">
      <c r="A55" s="10" t="s">
        <v>78</v>
      </c>
      <c r="B55" s="25"/>
      <c r="C55" s="25"/>
      <c r="D55" s="10" t="s">
        <v>82</v>
      </c>
      <c r="E55" s="10"/>
      <c r="F55" s="25"/>
      <c r="G55" s="10" t="s">
        <v>122</v>
      </c>
      <c r="I55" s="10" t="s">
        <v>132</v>
      </c>
      <c r="K55" s="10" t="s">
        <v>133</v>
      </c>
    </row>
    <row r="56" spans="1:13" x14ac:dyDescent="0.25">
      <c r="A56" s="25">
        <v>1</v>
      </c>
      <c r="B56" s="25"/>
      <c r="C56" s="25"/>
      <c r="D56" s="37" t="s">
        <v>141</v>
      </c>
      <c r="E56" s="37"/>
      <c r="F56" s="25"/>
      <c r="G56" s="25" t="s">
        <v>123</v>
      </c>
      <c r="I56" t="s">
        <v>157</v>
      </c>
      <c r="K56" t="s">
        <v>134</v>
      </c>
    </row>
    <row r="57" spans="1:13" x14ac:dyDescent="0.25">
      <c r="A57" s="25">
        <v>2</v>
      </c>
      <c r="D57" s="37" t="s">
        <v>142</v>
      </c>
      <c r="E57" s="37"/>
      <c r="G57" s="25" t="s">
        <v>124</v>
      </c>
      <c r="I57" t="s">
        <v>158</v>
      </c>
      <c r="K57" t="s">
        <v>135</v>
      </c>
    </row>
    <row r="58" spans="1:13" x14ac:dyDescent="0.25">
      <c r="D58" s="37" t="s">
        <v>143</v>
      </c>
      <c r="E58" s="37"/>
      <c r="I58" s="33" t="s">
        <v>159</v>
      </c>
    </row>
    <row r="59" spans="1:13" x14ac:dyDescent="0.25">
      <c r="D59" s="37" t="s">
        <v>144</v>
      </c>
      <c r="E59" s="37"/>
      <c r="I59" t="s">
        <v>160</v>
      </c>
    </row>
    <row r="60" spans="1:13" x14ac:dyDescent="0.25">
      <c r="D60" s="37" t="s">
        <v>145</v>
      </c>
      <c r="E60" s="37"/>
      <c r="I60" t="s">
        <v>161</v>
      </c>
    </row>
    <row r="61" spans="1:13" x14ac:dyDescent="0.25">
      <c r="A61" s="10" t="s">
        <v>224</v>
      </c>
      <c r="D61" s="37" t="s">
        <v>146</v>
      </c>
      <c r="E61" s="37"/>
      <c r="I61" t="s">
        <v>162</v>
      </c>
    </row>
    <row r="62" spans="1:13" x14ac:dyDescent="0.25">
      <c r="A62">
        <v>1</v>
      </c>
      <c r="D62" s="37" t="s">
        <v>147</v>
      </c>
      <c r="E62" s="37"/>
    </row>
    <row r="63" spans="1:13" x14ac:dyDescent="0.25">
      <c r="A63">
        <v>2</v>
      </c>
      <c r="D63" s="37" t="s">
        <v>148</v>
      </c>
      <c r="E63" s="37"/>
    </row>
    <row r="64" spans="1:13" x14ac:dyDescent="0.25">
      <c r="A64">
        <v>3</v>
      </c>
      <c r="D64" s="37" t="s">
        <v>149</v>
      </c>
      <c r="E64" s="37"/>
    </row>
    <row r="65" spans="1:7" x14ac:dyDescent="0.25">
      <c r="D65" s="37" t="s">
        <v>150</v>
      </c>
      <c r="E65" s="37"/>
    </row>
    <row r="66" spans="1:7" x14ac:dyDescent="0.25">
      <c r="D66" s="37" t="s">
        <v>151</v>
      </c>
      <c r="E66" s="37"/>
    </row>
    <row r="67" spans="1:7" x14ac:dyDescent="0.25">
      <c r="D67" s="37" t="s">
        <v>152</v>
      </c>
      <c r="E67" s="37"/>
    </row>
    <row r="68" spans="1:7" x14ac:dyDescent="0.25">
      <c r="D68" s="37" t="s">
        <v>153</v>
      </c>
      <c r="E68" s="37"/>
    </row>
    <row r="69" spans="1:7" x14ac:dyDescent="0.25">
      <c r="D69" s="37" t="s">
        <v>154</v>
      </c>
      <c r="E69" s="37"/>
    </row>
    <row r="70" spans="1:7" x14ac:dyDescent="0.25">
      <c r="A70" s="10" t="s">
        <v>229</v>
      </c>
      <c r="D70" s="37" t="s">
        <v>155</v>
      </c>
      <c r="E70" s="37"/>
    </row>
    <row r="71" spans="1:7" x14ac:dyDescent="0.25">
      <c r="A71" s="26" t="s">
        <v>230</v>
      </c>
    </row>
    <row r="72" spans="1:7" x14ac:dyDescent="0.25">
      <c r="A72" s="26" t="s">
        <v>231</v>
      </c>
    </row>
    <row r="73" spans="1:7" x14ac:dyDescent="0.25">
      <c r="A73" s="26" t="s">
        <v>232</v>
      </c>
      <c r="D73" s="10" t="s">
        <v>260</v>
      </c>
      <c r="G73" s="10" t="s">
        <v>270</v>
      </c>
    </row>
    <row r="74" spans="1:7" x14ac:dyDescent="0.25">
      <c r="A74" s="26" t="s">
        <v>233</v>
      </c>
      <c r="D74">
        <v>5</v>
      </c>
      <c r="G74" t="s">
        <v>51</v>
      </c>
    </row>
    <row r="75" spans="1:7" x14ac:dyDescent="0.25">
      <c r="D75">
        <v>15</v>
      </c>
      <c r="G75" t="s">
        <v>52</v>
      </c>
    </row>
    <row r="76" spans="1:7" x14ac:dyDescent="0.25">
      <c r="D76">
        <v>25</v>
      </c>
    </row>
    <row r="77" spans="1:7" x14ac:dyDescent="0.25">
      <c r="A77" s="10" t="s">
        <v>235</v>
      </c>
    </row>
    <row r="78" spans="1:7" x14ac:dyDescent="0.25">
      <c r="A78">
        <v>1</v>
      </c>
    </row>
    <row r="79" spans="1:7" x14ac:dyDescent="0.25">
      <c r="A79">
        <v>2</v>
      </c>
      <c r="D79" s="10" t="s">
        <v>283</v>
      </c>
    </row>
    <row r="80" spans="1:7" x14ac:dyDescent="0.25">
      <c r="A80">
        <v>3</v>
      </c>
      <c r="D80" t="s">
        <v>284</v>
      </c>
    </row>
    <row r="81" spans="4:4" x14ac:dyDescent="0.25">
      <c r="D81" t="s">
        <v>285</v>
      </c>
    </row>
  </sheetData>
  <mergeCells count="3">
    <mergeCell ref="C4:D4"/>
    <mergeCell ref="C5:D5"/>
    <mergeCell ref="C6:D6"/>
  </mergeCells>
  <dataValidations count="13">
    <dataValidation type="list" allowBlank="1" showInputMessage="1" showErrorMessage="1" sqref="D22" xr:uid="{98817FD8-7A57-424F-A0FC-BAD112035A73}">
      <formula1>$D$50:$D$54</formula1>
    </dataValidation>
    <dataValidation type="list" allowBlank="1" showInputMessage="1" showErrorMessage="1" sqref="D24" xr:uid="{B2AF9582-6DC4-6841-9984-B42C18F00C7B}">
      <formula1>$D$56:$D$70</formula1>
    </dataValidation>
    <dataValidation type="list" allowBlank="1" showInputMessage="1" showErrorMessage="1" sqref="D11" xr:uid="{6DFD48DB-B545-E440-848D-450818710CB7}">
      <formula1>$G$56:$G$58</formula1>
    </dataValidation>
    <dataValidation type="list" allowBlank="1" showInputMessage="1" showErrorMessage="1" sqref="D13" xr:uid="{053A5EB1-5B86-1B49-9BC1-43CC5DDD47ED}">
      <formula1>$I$50:$I$52</formula1>
    </dataValidation>
    <dataValidation type="list" allowBlank="1" showInputMessage="1" showErrorMessage="1" sqref="D17" xr:uid="{268320A5-9B71-DB4E-BEEA-036F063E309A}">
      <formula1>$A$50:$A$53</formula1>
    </dataValidation>
    <dataValidation type="list" allowBlank="1" showInputMessage="1" showErrorMessage="1" sqref="D18" xr:uid="{CD6F1611-575B-1040-829E-9A6A7D2BE8DC}">
      <formula1>$A$62:$A$65</formula1>
    </dataValidation>
    <dataValidation type="list" allowBlank="1" showInputMessage="1" showErrorMessage="1" sqref="D8" xr:uid="{B8A782CB-0DD0-174D-9701-632A9981B1D4}">
      <formula1>$K$56:$K$58</formula1>
    </dataValidation>
    <dataValidation type="list" allowBlank="1" showInputMessage="1" showErrorMessage="1" sqref="D23" xr:uid="{9931AF53-E4E1-714E-98E9-B2BA311A9888}">
      <formula1>$A$71:$A$75</formula1>
    </dataValidation>
    <dataValidation type="list" allowBlank="1" showInputMessage="1" showErrorMessage="1" sqref="C5" xr:uid="{1E141841-CFF4-6940-9AAA-C66FC3D40ACB}">
      <formula1>$A$78:$A$80</formula1>
    </dataValidation>
    <dataValidation type="list" allowBlank="1" showInputMessage="1" showErrorMessage="1" sqref="D16" xr:uid="{CAD03EEF-0A20-8A42-89EA-77CB083FFF83}">
      <formula1>$D$74:$D$77</formula1>
    </dataValidation>
    <dataValidation type="list" allowBlank="1" showInputMessage="1" showErrorMessage="1" sqref="C6:D6" xr:uid="{9BC1DF54-94E7-2640-8443-288CE8090C03}">
      <formula1>$D$80:$D$81</formula1>
    </dataValidation>
    <dataValidation type="list" allowBlank="1" showInputMessage="1" showErrorMessage="1" sqref="C34 C11 C7 C16:C17 C22 C26:C27" xr:uid="{5D33D693-9490-6249-A037-AF206E757C9C}">
      <formula1>$G$74:$G$75</formula1>
    </dataValidation>
    <dataValidation type="list" allowBlank="1" showInputMessage="1" showErrorMessage="1" sqref="C4:D4" xr:uid="{EB5F1072-F090-3548-9DE9-0F91BC1C968F}">
      <formula1>$K$49:$K$54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53848-04E3-504A-A686-2CAA6B91030D}">
  <sheetPr codeName="Sheet5"/>
  <dimension ref="A1:C10"/>
  <sheetViews>
    <sheetView showGridLines="0" zoomScale="144" workbookViewId="0">
      <selection activeCell="A9" sqref="A9"/>
    </sheetView>
  </sheetViews>
  <sheetFormatPr baseColWidth="10" defaultRowHeight="15.75" x14ac:dyDescent="0.25"/>
  <cols>
    <col min="1" max="1" width="62" bestFit="1" customWidth="1"/>
    <col min="2" max="2" width="44" customWidth="1"/>
    <col min="3" max="3" width="15.125" bestFit="1" customWidth="1"/>
  </cols>
  <sheetData>
    <row r="1" spans="1:3" ht="21" x14ac:dyDescent="0.35">
      <c r="A1" s="18" t="s">
        <v>371</v>
      </c>
    </row>
    <row r="3" spans="1:3" x14ac:dyDescent="0.25">
      <c r="A3" s="10" t="s">
        <v>373</v>
      </c>
      <c r="B3" s="10" t="s">
        <v>236</v>
      </c>
      <c r="C3" s="10" t="s">
        <v>8</v>
      </c>
    </row>
    <row r="4" spans="1:3" x14ac:dyDescent="0.25">
      <c r="A4" t="s">
        <v>372</v>
      </c>
      <c r="C4" s="140">
        <v>859584.41</v>
      </c>
    </row>
    <row r="5" spans="1:3" x14ac:dyDescent="0.25">
      <c r="A5" t="s">
        <v>378</v>
      </c>
      <c r="B5" s="11"/>
      <c r="C5" s="147">
        <v>28</v>
      </c>
    </row>
    <row r="6" spans="1:3" x14ac:dyDescent="0.25">
      <c r="A6" t="s">
        <v>379</v>
      </c>
      <c r="B6" s="21">
        <v>7200</v>
      </c>
      <c r="C6" s="139">
        <f>+IF(B6&lt;=1000,1,IF(AND(B6&gt;1000,B6&lt;=3000),0.8,IF(AND(B6&gt;3000,B6&lt;=3700),0.7,IF(AND(B6&gt;3700,B6&lt;=7100),0.612,IF(AND(B6&gt;7100,B6&lt;=14000),0.544,IF(AND(B6&gt;14000,B6&lt;=20000),0.476,IF(AND(B6&gt;20000,B6&lt;=30000),0.408,IF(AND(B6&gt;30000,B6&lt;=70000),0.0375,IF(AND(B6&gt;70000,B6&lt;=300000),0.0055,0)))))))))</f>
        <v>0.54400000000000004</v>
      </c>
    </row>
    <row r="7" spans="1:3" x14ac:dyDescent="0.25">
      <c r="A7" t="s">
        <v>374</v>
      </c>
      <c r="B7" s="35" t="s">
        <v>367</v>
      </c>
      <c r="C7" s="139">
        <f>+VLOOKUP(B7,'Tablas Espectro MW'!$A$43:$C$46,2,0)</f>
        <v>0.9</v>
      </c>
    </row>
    <row r="8" spans="1:3" x14ac:dyDescent="0.25">
      <c r="A8" t="s">
        <v>381</v>
      </c>
      <c r="B8" s="35" t="s">
        <v>348</v>
      </c>
      <c r="C8" s="139">
        <f>+VLOOKUP(B8,'Tablas Espectro MW'!$A$20:$B$23,2,0)</f>
        <v>0.8</v>
      </c>
    </row>
    <row r="9" spans="1:3" x14ac:dyDescent="0.25">
      <c r="A9" s="23" t="s">
        <v>380</v>
      </c>
      <c r="B9" s="23"/>
      <c r="C9" s="148">
        <f>+(C4*(C5)*C6*C7)*C8*2</f>
        <v>18854193.215692803</v>
      </c>
    </row>
    <row r="10" spans="1:3" x14ac:dyDescent="0.25">
      <c r="C10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8F3A0E-0526-A343-B856-466EA8F326C5}">
          <x14:formula1>
            <xm:f>'Tablas Espectro MW'!$A$44:$A$46</xm:f>
          </x14:formula1>
          <xm:sqref>B7</xm:sqref>
        </x14:dataValidation>
        <x14:dataValidation type="list" allowBlank="1" showInputMessage="1" showErrorMessage="1" xr:uid="{BDF0CADE-9090-6644-8AEE-002F8D148FB0}">
          <x14:formula1>
            <xm:f>'Tablas Espectro MW'!$A$20:$A$23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7339-30FD-6F41-87AB-D5C80D88DD9C}">
  <sheetPr codeName="Sheet2"/>
  <dimension ref="A1:DW104"/>
  <sheetViews>
    <sheetView showGridLines="0" workbookViewId="0">
      <pane xSplit="3" ySplit="16" topLeftCell="D17" activePane="bottomRight" state="frozen"/>
      <selection pane="topRight" activeCell="D1" sqref="D1"/>
      <selection pane="bottomLeft" activeCell="A18" sqref="A18"/>
      <selection pane="bottomRight"/>
    </sheetView>
  </sheetViews>
  <sheetFormatPr baseColWidth="10" defaultRowHeight="15.75" x14ac:dyDescent="0.25"/>
  <cols>
    <col min="1" max="1" width="52.625" bestFit="1" customWidth="1"/>
    <col min="2" max="2" width="18.875" customWidth="1"/>
    <col min="3" max="3" width="18.625" customWidth="1"/>
    <col min="4" max="4" width="20.375" bestFit="1" customWidth="1"/>
    <col min="5" max="5" width="20.5" customWidth="1"/>
    <col min="6" max="6" width="15.125" bestFit="1" customWidth="1"/>
    <col min="7" max="7" width="16" bestFit="1" customWidth="1"/>
    <col min="8" max="17" width="15.125" bestFit="1" customWidth="1"/>
    <col min="18" max="62" width="15" bestFit="1" customWidth="1"/>
    <col min="63" max="125" width="12.625" bestFit="1" customWidth="1"/>
    <col min="126" max="126" width="11.5" bestFit="1" customWidth="1"/>
  </cols>
  <sheetData>
    <row r="1" spans="1:127" ht="26.25" x14ac:dyDescent="0.4">
      <c r="A1" s="6" t="s">
        <v>382</v>
      </c>
      <c r="G1" s="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</row>
    <row r="2" spans="1:127" x14ac:dyDescent="0.25">
      <c r="B2" s="16"/>
      <c r="E2" s="2"/>
      <c r="F2" s="1"/>
      <c r="G2" s="1"/>
      <c r="H2" s="98"/>
      <c r="I2" s="98"/>
    </row>
    <row r="3" spans="1:127" x14ac:dyDescent="0.25">
      <c r="A3" s="10" t="s">
        <v>62</v>
      </c>
      <c r="B3" s="10" t="s">
        <v>8</v>
      </c>
      <c r="D3" s="10" t="s">
        <v>18</v>
      </c>
      <c r="E3" s="10">
        <f>+YEAR(B7)</f>
        <v>2020</v>
      </c>
      <c r="F3" s="10">
        <f t="shared" ref="F3:O3" si="0">+E3+1</f>
        <v>2021</v>
      </c>
      <c r="G3" s="10">
        <f t="shared" si="0"/>
        <v>2022</v>
      </c>
      <c r="H3" s="10">
        <f t="shared" si="0"/>
        <v>2023</v>
      </c>
      <c r="I3" s="10">
        <f t="shared" si="0"/>
        <v>2024</v>
      </c>
      <c r="J3" s="10">
        <f t="shared" si="0"/>
        <v>2025</v>
      </c>
      <c r="K3" s="10">
        <f t="shared" si="0"/>
        <v>2026</v>
      </c>
      <c r="L3" s="10">
        <f t="shared" si="0"/>
        <v>2027</v>
      </c>
      <c r="M3" s="10">
        <f t="shared" si="0"/>
        <v>2028</v>
      </c>
      <c r="N3" s="10">
        <f t="shared" si="0"/>
        <v>2029</v>
      </c>
      <c r="O3" s="10">
        <f t="shared" si="0"/>
        <v>2030</v>
      </c>
    </row>
    <row r="4" spans="1:127" x14ac:dyDescent="0.25">
      <c r="A4" s="11" t="s">
        <v>128</v>
      </c>
      <c r="B4" s="28">
        <v>4000</v>
      </c>
      <c r="D4" s="11" t="s">
        <v>56</v>
      </c>
      <c r="E4" s="9">
        <v>0.03</v>
      </c>
      <c r="F4" s="9">
        <v>0.03</v>
      </c>
      <c r="G4" s="9">
        <v>0.03</v>
      </c>
      <c r="H4" s="9">
        <v>0.03</v>
      </c>
      <c r="I4" s="9">
        <v>0.03</v>
      </c>
      <c r="J4" s="9">
        <v>0.03</v>
      </c>
      <c r="K4" s="9">
        <v>0.03</v>
      </c>
      <c r="L4" s="9">
        <v>0.03</v>
      </c>
      <c r="M4" s="9">
        <v>0.03</v>
      </c>
      <c r="N4" s="9">
        <v>0.03</v>
      </c>
      <c r="O4" s="9">
        <v>0.03</v>
      </c>
    </row>
    <row r="5" spans="1:127" x14ac:dyDescent="0.25">
      <c r="A5" s="11" t="s">
        <v>66</v>
      </c>
      <c r="B5" s="103">
        <f>+SUM(F9:DV10)</f>
        <v>1701697651.8042638</v>
      </c>
      <c r="D5" t="s">
        <v>65</v>
      </c>
      <c r="E5" s="15">
        <v>1</v>
      </c>
      <c r="F5" s="15">
        <f t="shared" ref="F5:O5" si="1">(1+E4)*E5</f>
        <v>1.03</v>
      </c>
      <c r="G5" s="15">
        <f t="shared" si="1"/>
        <v>1.0609</v>
      </c>
      <c r="H5" s="15">
        <f t="shared" si="1"/>
        <v>1.092727</v>
      </c>
      <c r="I5" s="15">
        <f t="shared" si="1"/>
        <v>1.1255088100000001</v>
      </c>
      <c r="J5" s="15">
        <f t="shared" si="1"/>
        <v>1.1592740743000001</v>
      </c>
      <c r="K5" s="15">
        <f t="shared" si="1"/>
        <v>1.1940522965290001</v>
      </c>
      <c r="L5" s="15">
        <f t="shared" si="1"/>
        <v>1.2298738654248702</v>
      </c>
      <c r="M5" s="15">
        <f t="shared" si="1"/>
        <v>1.2667700813876164</v>
      </c>
      <c r="N5" s="15">
        <f t="shared" si="1"/>
        <v>1.3047731838292449</v>
      </c>
      <c r="O5" s="15">
        <f t="shared" si="1"/>
        <v>1.3439163793441222</v>
      </c>
    </row>
    <row r="6" spans="1:127" x14ac:dyDescent="0.25">
      <c r="A6" s="11" t="s">
        <v>55</v>
      </c>
      <c r="B6" s="104">
        <v>0.05</v>
      </c>
      <c r="D6" s="23" t="s">
        <v>296</v>
      </c>
      <c r="E6" s="106">
        <f ca="1">+SUMIF($F$8:$DW$8,E3,$F$9:$DV$9)</f>
        <v>596915003.41457367</v>
      </c>
      <c r="F6" s="106">
        <f t="shared" ref="F6:O6" si="2">+SUMIF($F$8:$DV$8,F3,$F$9:$DV$9)</f>
        <v>0</v>
      </c>
      <c r="G6" s="106">
        <f t="shared" si="2"/>
        <v>0</v>
      </c>
      <c r="H6" s="106">
        <f t="shared" si="2"/>
        <v>0</v>
      </c>
      <c r="I6" s="106">
        <f t="shared" si="2"/>
        <v>0</v>
      </c>
      <c r="J6" s="106">
        <f t="shared" si="2"/>
        <v>0</v>
      </c>
      <c r="K6" s="106">
        <f t="shared" si="2"/>
        <v>0</v>
      </c>
      <c r="L6" s="106">
        <f t="shared" si="2"/>
        <v>0</v>
      </c>
      <c r="M6" s="106">
        <f t="shared" si="2"/>
        <v>0</v>
      </c>
      <c r="N6" s="106">
        <f t="shared" si="2"/>
        <v>0</v>
      </c>
      <c r="O6" s="106">
        <f t="shared" si="2"/>
        <v>0</v>
      </c>
    </row>
    <row r="7" spans="1:127" x14ac:dyDescent="0.25">
      <c r="A7" s="11" t="s">
        <v>53</v>
      </c>
      <c r="B7" s="5">
        <v>43979</v>
      </c>
      <c r="D7" s="23" t="s">
        <v>297</v>
      </c>
      <c r="E7" s="106">
        <f t="shared" ref="E7:O7" si="3">+SUMIF($F$8:$DV$8,E3,$F$10:$DV$10)</f>
        <v>117931973.65226418</v>
      </c>
      <c r="F7" s="106">
        <f t="shared" si="3"/>
        <v>208290767.09483352</v>
      </c>
      <c r="G7" s="106">
        <f t="shared" si="3"/>
        <v>239882393.5969457</v>
      </c>
      <c r="H7" s="106">
        <f t="shared" si="3"/>
        <v>254284079.97150961</v>
      </c>
      <c r="I7" s="106">
        <f t="shared" si="3"/>
        <v>261912602.37065503</v>
      </c>
      <c r="J7" s="106">
        <f t="shared" si="3"/>
        <v>22480831.703481223</v>
      </c>
      <c r="K7" s="106">
        <f t="shared" si="3"/>
        <v>0</v>
      </c>
      <c r="L7" s="106">
        <f t="shared" si="3"/>
        <v>0</v>
      </c>
      <c r="M7" s="106">
        <f t="shared" si="3"/>
        <v>0</v>
      </c>
      <c r="N7" s="106">
        <f t="shared" si="3"/>
        <v>0</v>
      </c>
      <c r="O7" s="106">
        <f t="shared" si="3"/>
        <v>0</v>
      </c>
    </row>
    <row r="8" spans="1:127" x14ac:dyDescent="0.25">
      <c r="A8" s="11" t="s">
        <v>58</v>
      </c>
      <c r="B8" s="5">
        <v>44013</v>
      </c>
      <c r="F8" s="22">
        <f t="shared" ref="F8:AK8" si="4">+YEAR(F16)</f>
        <v>2020</v>
      </c>
      <c r="G8" s="22">
        <f t="shared" si="4"/>
        <v>2020</v>
      </c>
      <c r="H8" s="22">
        <f t="shared" si="4"/>
        <v>2020</v>
      </c>
      <c r="I8" s="22">
        <f t="shared" si="4"/>
        <v>2020</v>
      </c>
      <c r="J8" s="22">
        <f t="shared" si="4"/>
        <v>2020</v>
      </c>
      <c r="K8" s="22">
        <f t="shared" si="4"/>
        <v>2020</v>
      </c>
      <c r="L8" s="22">
        <f t="shared" si="4"/>
        <v>2020</v>
      </c>
      <c r="M8" s="22">
        <f t="shared" si="4"/>
        <v>2020</v>
      </c>
      <c r="N8" s="22">
        <f t="shared" si="4"/>
        <v>2021</v>
      </c>
      <c r="O8" s="22">
        <f t="shared" si="4"/>
        <v>2021</v>
      </c>
      <c r="P8" s="22">
        <f t="shared" si="4"/>
        <v>2021</v>
      </c>
      <c r="Q8" s="22">
        <f t="shared" si="4"/>
        <v>2021</v>
      </c>
      <c r="R8" s="22">
        <f t="shared" si="4"/>
        <v>2021</v>
      </c>
      <c r="S8" s="22">
        <f t="shared" si="4"/>
        <v>2021</v>
      </c>
      <c r="T8" s="22">
        <f t="shared" si="4"/>
        <v>2021</v>
      </c>
      <c r="U8" s="22">
        <f t="shared" si="4"/>
        <v>2021</v>
      </c>
      <c r="V8" s="22">
        <f t="shared" si="4"/>
        <v>2021</v>
      </c>
      <c r="W8" s="22">
        <f t="shared" si="4"/>
        <v>2021</v>
      </c>
      <c r="X8" s="22">
        <f t="shared" si="4"/>
        <v>2021</v>
      </c>
      <c r="Y8" s="22">
        <f t="shared" si="4"/>
        <v>2021</v>
      </c>
      <c r="Z8" s="22">
        <f t="shared" si="4"/>
        <v>2022</v>
      </c>
      <c r="AA8" s="22">
        <f t="shared" si="4"/>
        <v>2022</v>
      </c>
      <c r="AB8" s="22">
        <f t="shared" si="4"/>
        <v>2022</v>
      </c>
      <c r="AC8" s="22">
        <f t="shared" si="4"/>
        <v>2022</v>
      </c>
      <c r="AD8" s="22">
        <f t="shared" si="4"/>
        <v>2022</v>
      </c>
      <c r="AE8" s="22">
        <f t="shared" si="4"/>
        <v>2022</v>
      </c>
      <c r="AF8" s="22">
        <f t="shared" si="4"/>
        <v>2022</v>
      </c>
      <c r="AG8" s="22">
        <f t="shared" si="4"/>
        <v>2022</v>
      </c>
      <c r="AH8" s="22">
        <f t="shared" si="4"/>
        <v>2022</v>
      </c>
      <c r="AI8" s="22">
        <f t="shared" si="4"/>
        <v>2022</v>
      </c>
      <c r="AJ8" s="22">
        <f t="shared" si="4"/>
        <v>2022</v>
      </c>
      <c r="AK8" s="22">
        <f t="shared" si="4"/>
        <v>2022</v>
      </c>
      <c r="AL8" s="22">
        <f t="shared" ref="AL8:BQ8" si="5">+YEAR(AL16)</f>
        <v>2023</v>
      </c>
      <c r="AM8" s="22">
        <f t="shared" si="5"/>
        <v>2023</v>
      </c>
      <c r="AN8" s="22">
        <f t="shared" si="5"/>
        <v>2023</v>
      </c>
      <c r="AO8" s="22">
        <f t="shared" si="5"/>
        <v>2023</v>
      </c>
      <c r="AP8" s="22">
        <f t="shared" si="5"/>
        <v>2023</v>
      </c>
      <c r="AQ8" s="22">
        <f t="shared" si="5"/>
        <v>2023</v>
      </c>
      <c r="AR8" s="22">
        <f t="shared" si="5"/>
        <v>2023</v>
      </c>
      <c r="AS8" s="22">
        <f t="shared" si="5"/>
        <v>2023</v>
      </c>
      <c r="AT8" s="22">
        <f t="shared" si="5"/>
        <v>2023</v>
      </c>
      <c r="AU8" s="22">
        <f t="shared" si="5"/>
        <v>2023</v>
      </c>
      <c r="AV8" s="22">
        <f t="shared" si="5"/>
        <v>2023</v>
      </c>
      <c r="AW8" s="22">
        <f t="shared" si="5"/>
        <v>2023</v>
      </c>
      <c r="AX8" s="22">
        <f t="shared" si="5"/>
        <v>2024</v>
      </c>
      <c r="AY8" s="22">
        <f t="shared" si="5"/>
        <v>2024</v>
      </c>
      <c r="AZ8" s="22">
        <f t="shared" si="5"/>
        <v>2024</v>
      </c>
      <c r="BA8" s="22">
        <f t="shared" si="5"/>
        <v>2024</v>
      </c>
      <c r="BB8" s="22">
        <f t="shared" si="5"/>
        <v>2024</v>
      </c>
      <c r="BC8" s="22">
        <f t="shared" si="5"/>
        <v>2024</v>
      </c>
      <c r="BD8" s="22">
        <f t="shared" si="5"/>
        <v>2024</v>
      </c>
      <c r="BE8" s="22">
        <f t="shared" si="5"/>
        <v>2024</v>
      </c>
      <c r="BF8" s="22">
        <f t="shared" si="5"/>
        <v>2024</v>
      </c>
      <c r="BG8" s="22">
        <f t="shared" si="5"/>
        <v>2024</v>
      </c>
      <c r="BH8" s="22">
        <f t="shared" si="5"/>
        <v>2024</v>
      </c>
      <c r="BI8" s="22">
        <f t="shared" si="5"/>
        <v>2024</v>
      </c>
      <c r="BJ8" s="22">
        <f t="shared" si="5"/>
        <v>2025</v>
      </c>
      <c r="BK8" s="22">
        <f t="shared" si="5"/>
        <v>2025</v>
      </c>
      <c r="BL8" s="22">
        <f t="shared" si="5"/>
        <v>2025</v>
      </c>
      <c r="BM8" s="22">
        <f t="shared" si="5"/>
        <v>2025</v>
      </c>
      <c r="BN8" s="22">
        <f t="shared" si="5"/>
        <v>2025</v>
      </c>
      <c r="BO8" s="22">
        <f t="shared" si="5"/>
        <v>2025</v>
      </c>
      <c r="BP8" s="22">
        <f t="shared" si="5"/>
        <v>2025</v>
      </c>
      <c r="BQ8" s="22">
        <f t="shared" si="5"/>
        <v>2025</v>
      </c>
      <c r="BR8" s="22">
        <f t="shared" ref="BR8:CW8" si="6">+YEAR(BR16)</f>
        <v>2025</v>
      </c>
      <c r="BS8" s="22">
        <f t="shared" si="6"/>
        <v>2025</v>
      </c>
      <c r="BT8" s="22">
        <f t="shared" si="6"/>
        <v>2025</v>
      </c>
      <c r="BU8" s="22">
        <f t="shared" si="6"/>
        <v>2025</v>
      </c>
      <c r="BV8" s="22">
        <f t="shared" si="6"/>
        <v>2026</v>
      </c>
      <c r="BW8" s="22">
        <f t="shared" si="6"/>
        <v>2026</v>
      </c>
      <c r="BX8" s="22">
        <f t="shared" si="6"/>
        <v>2026</v>
      </c>
      <c r="BY8" s="22">
        <f t="shared" si="6"/>
        <v>2026</v>
      </c>
      <c r="BZ8" s="22">
        <f t="shared" si="6"/>
        <v>2026</v>
      </c>
      <c r="CA8" s="22">
        <f t="shared" si="6"/>
        <v>2026</v>
      </c>
      <c r="CB8" s="22">
        <f t="shared" si="6"/>
        <v>2026</v>
      </c>
      <c r="CC8" s="22">
        <f t="shared" si="6"/>
        <v>2026</v>
      </c>
      <c r="CD8" s="22">
        <f t="shared" si="6"/>
        <v>2026</v>
      </c>
      <c r="CE8" s="22">
        <f t="shared" si="6"/>
        <v>2026</v>
      </c>
      <c r="CF8" s="22">
        <f t="shared" si="6"/>
        <v>2026</v>
      </c>
      <c r="CG8" s="22">
        <f t="shared" si="6"/>
        <v>2026</v>
      </c>
      <c r="CH8" s="22">
        <f t="shared" si="6"/>
        <v>2027</v>
      </c>
      <c r="CI8" s="22">
        <f t="shared" si="6"/>
        <v>2027</v>
      </c>
      <c r="CJ8" s="22">
        <f t="shared" si="6"/>
        <v>2027</v>
      </c>
      <c r="CK8" s="22">
        <f t="shared" si="6"/>
        <v>2027</v>
      </c>
      <c r="CL8" s="22">
        <f t="shared" si="6"/>
        <v>2027</v>
      </c>
      <c r="CM8" s="22">
        <f t="shared" si="6"/>
        <v>2027</v>
      </c>
      <c r="CN8" s="22">
        <f t="shared" si="6"/>
        <v>2027</v>
      </c>
      <c r="CO8" s="22">
        <f t="shared" si="6"/>
        <v>2027</v>
      </c>
      <c r="CP8" s="22">
        <f t="shared" si="6"/>
        <v>2027</v>
      </c>
      <c r="CQ8" s="22">
        <f t="shared" si="6"/>
        <v>2027</v>
      </c>
      <c r="CR8" s="22">
        <f t="shared" si="6"/>
        <v>2027</v>
      </c>
      <c r="CS8" s="22">
        <f t="shared" si="6"/>
        <v>2027</v>
      </c>
      <c r="CT8" s="22">
        <f t="shared" si="6"/>
        <v>2028</v>
      </c>
      <c r="CU8" s="22">
        <f t="shared" si="6"/>
        <v>2028</v>
      </c>
      <c r="CV8" s="22">
        <f t="shared" si="6"/>
        <v>2028</v>
      </c>
      <c r="CW8" s="22">
        <f t="shared" si="6"/>
        <v>2028</v>
      </c>
      <c r="CX8" s="22">
        <f t="shared" ref="CX8:DV8" si="7">+YEAR(CX16)</f>
        <v>2028</v>
      </c>
      <c r="CY8" s="22">
        <f t="shared" si="7"/>
        <v>2028</v>
      </c>
      <c r="CZ8" s="22">
        <f t="shared" si="7"/>
        <v>2028</v>
      </c>
      <c r="DA8" s="22">
        <f t="shared" si="7"/>
        <v>2028</v>
      </c>
      <c r="DB8" s="22">
        <f t="shared" si="7"/>
        <v>2028</v>
      </c>
      <c r="DC8" s="22">
        <f t="shared" si="7"/>
        <v>2028</v>
      </c>
      <c r="DD8" s="22">
        <f t="shared" si="7"/>
        <v>2028</v>
      </c>
      <c r="DE8" s="22">
        <f t="shared" si="7"/>
        <v>2028</v>
      </c>
      <c r="DF8" s="22">
        <f t="shared" si="7"/>
        <v>2029</v>
      </c>
      <c r="DG8" s="22">
        <f t="shared" si="7"/>
        <v>2029</v>
      </c>
      <c r="DH8" s="22">
        <f t="shared" si="7"/>
        <v>2029</v>
      </c>
      <c r="DI8" s="22">
        <f t="shared" si="7"/>
        <v>2029</v>
      </c>
      <c r="DJ8" s="22">
        <f t="shared" si="7"/>
        <v>2029</v>
      </c>
      <c r="DK8" s="22">
        <f t="shared" si="7"/>
        <v>2029</v>
      </c>
      <c r="DL8" s="22">
        <f t="shared" si="7"/>
        <v>2029</v>
      </c>
      <c r="DM8" s="22">
        <f t="shared" si="7"/>
        <v>2029</v>
      </c>
      <c r="DN8" s="22">
        <f t="shared" si="7"/>
        <v>2029</v>
      </c>
      <c r="DO8" s="22">
        <f t="shared" si="7"/>
        <v>2029</v>
      </c>
      <c r="DP8" s="22">
        <f t="shared" si="7"/>
        <v>2029</v>
      </c>
      <c r="DQ8" s="22">
        <f t="shared" si="7"/>
        <v>2029</v>
      </c>
      <c r="DR8" s="22">
        <f t="shared" si="7"/>
        <v>2030</v>
      </c>
      <c r="DS8" s="22">
        <f t="shared" si="7"/>
        <v>2030</v>
      </c>
      <c r="DT8" s="22">
        <f t="shared" si="7"/>
        <v>2030</v>
      </c>
      <c r="DU8" s="22">
        <f t="shared" si="7"/>
        <v>2030</v>
      </c>
      <c r="DV8" s="22">
        <f t="shared" si="7"/>
        <v>2030</v>
      </c>
      <c r="DW8" s="22"/>
    </row>
    <row r="9" spans="1:127" x14ac:dyDescent="0.25">
      <c r="A9" s="11" t="s">
        <v>64</v>
      </c>
      <c r="B9" s="21">
        <v>56</v>
      </c>
      <c r="E9" s="96" t="s">
        <v>295</v>
      </c>
      <c r="F9" s="97">
        <f t="shared" ref="F9:AK9" si="8">+SUM(F20:F26,F36:F40,F44:F46,F50:F52,F59:F61,F66:F74,F77:F86,F90:F91)</f>
        <v>596915003.41457367</v>
      </c>
      <c r="G9" s="97">
        <f t="shared" si="8"/>
        <v>0</v>
      </c>
      <c r="H9" s="97">
        <f t="shared" si="8"/>
        <v>0</v>
      </c>
      <c r="I9" s="97">
        <f t="shared" si="8"/>
        <v>0</v>
      </c>
      <c r="J9" s="97">
        <f t="shared" si="8"/>
        <v>0</v>
      </c>
      <c r="K9" s="97">
        <f t="shared" si="8"/>
        <v>0</v>
      </c>
      <c r="L9" s="97">
        <f t="shared" si="8"/>
        <v>0</v>
      </c>
      <c r="M9" s="97">
        <f t="shared" si="8"/>
        <v>0</v>
      </c>
      <c r="N9" s="97">
        <f t="shared" si="8"/>
        <v>0</v>
      </c>
      <c r="O9" s="97">
        <f t="shared" si="8"/>
        <v>0</v>
      </c>
      <c r="P9" s="97">
        <f t="shared" si="8"/>
        <v>0</v>
      </c>
      <c r="Q9" s="97">
        <f t="shared" si="8"/>
        <v>0</v>
      </c>
      <c r="R9" s="97">
        <f t="shared" si="8"/>
        <v>0</v>
      </c>
      <c r="S9" s="97">
        <f t="shared" si="8"/>
        <v>0</v>
      </c>
      <c r="T9" s="97">
        <f t="shared" si="8"/>
        <v>0</v>
      </c>
      <c r="U9" s="97">
        <f t="shared" si="8"/>
        <v>0</v>
      </c>
      <c r="V9" s="97">
        <f t="shared" si="8"/>
        <v>0</v>
      </c>
      <c r="W9" s="97">
        <f t="shared" si="8"/>
        <v>0</v>
      </c>
      <c r="X9" s="97">
        <f t="shared" si="8"/>
        <v>0</v>
      </c>
      <c r="Y9" s="97">
        <f t="shared" si="8"/>
        <v>0</v>
      </c>
      <c r="Z9" s="97">
        <f t="shared" si="8"/>
        <v>0</v>
      </c>
      <c r="AA9" s="97">
        <f t="shared" si="8"/>
        <v>0</v>
      </c>
      <c r="AB9" s="97">
        <f t="shared" si="8"/>
        <v>0</v>
      </c>
      <c r="AC9" s="97">
        <f t="shared" si="8"/>
        <v>0</v>
      </c>
      <c r="AD9" s="97">
        <f t="shared" si="8"/>
        <v>0</v>
      </c>
      <c r="AE9" s="97">
        <f t="shared" si="8"/>
        <v>0</v>
      </c>
      <c r="AF9" s="97">
        <f t="shared" si="8"/>
        <v>0</v>
      </c>
      <c r="AG9" s="97">
        <f t="shared" si="8"/>
        <v>0</v>
      </c>
      <c r="AH9" s="97">
        <f t="shared" si="8"/>
        <v>0</v>
      </c>
      <c r="AI9" s="97">
        <f t="shared" si="8"/>
        <v>0</v>
      </c>
      <c r="AJ9" s="97">
        <f t="shared" si="8"/>
        <v>0</v>
      </c>
      <c r="AK9" s="97">
        <f t="shared" si="8"/>
        <v>0</v>
      </c>
      <c r="AL9" s="97">
        <f t="shared" ref="AL9:BQ9" si="9">+SUM(AL20:AL26,AL36:AL40,AL44:AL46,AL50:AL52,AL59:AL61,AL66:AL74,AL77:AL86,AL90:AL91)</f>
        <v>0</v>
      </c>
      <c r="AM9" s="97">
        <f t="shared" si="9"/>
        <v>0</v>
      </c>
      <c r="AN9" s="97">
        <f t="shared" si="9"/>
        <v>0</v>
      </c>
      <c r="AO9" s="97">
        <f t="shared" si="9"/>
        <v>0</v>
      </c>
      <c r="AP9" s="97">
        <f t="shared" si="9"/>
        <v>0</v>
      </c>
      <c r="AQ9" s="97">
        <f t="shared" si="9"/>
        <v>0</v>
      </c>
      <c r="AR9" s="97">
        <f t="shared" si="9"/>
        <v>0</v>
      </c>
      <c r="AS9" s="97">
        <f t="shared" si="9"/>
        <v>0</v>
      </c>
      <c r="AT9" s="97">
        <f t="shared" si="9"/>
        <v>0</v>
      </c>
      <c r="AU9" s="97">
        <f t="shared" si="9"/>
        <v>0</v>
      </c>
      <c r="AV9" s="97">
        <f t="shared" si="9"/>
        <v>0</v>
      </c>
      <c r="AW9" s="97">
        <f t="shared" si="9"/>
        <v>0</v>
      </c>
      <c r="AX9" s="97">
        <f t="shared" si="9"/>
        <v>0</v>
      </c>
      <c r="AY9" s="97">
        <f t="shared" si="9"/>
        <v>0</v>
      </c>
      <c r="AZ9" s="97">
        <f t="shared" si="9"/>
        <v>0</v>
      </c>
      <c r="BA9" s="97">
        <f t="shared" si="9"/>
        <v>0</v>
      </c>
      <c r="BB9" s="97">
        <f t="shared" si="9"/>
        <v>0</v>
      </c>
      <c r="BC9" s="97">
        <f t="shared" si="9"/>
        <v>0</v>
      </c>
      <c r="BD9" s="97">
        <f t="shared" si="9"/>
        <v>0</v>
      </c>
      <c r="BE9" s="97">
        <f t="shared" si="9"/>
        <v>0</v>
      </c>
      <c r="BF9" s="97">
        <f t="shared" si="9"/>
        <v>0</v>
      </c>
      <c r="BG9" s="97">
        <f t="shared" si="9"/>
        <v>0</v>
      </c>
      <c r="BH9" s="97">
        <f t="shared" si="9"/>
        <v>0</v>
      </c>
      <c r="BI9" s="97">
        <f t="shared" si="9"/>
        <v>0</v>
      </c>
      <c r="BJ9" s="97">
        <f t="shared" si="9"/>
        <v>0</v>
      </c>
      <c r="BK9" s="97">
        <f t="shared" si="9"/>
        <v>0</v>
      </c>
      <c r="BL9" s="97">
        <f t="shared" si="9"/>
        <v>0</v>
      </c>
      <c r="BM9" s="97">
        <f t="shared" si="9"/>
        <v>0</v>
      </c>
      <c r="BN9" s="97">
        <f t="shared" si="9"/>
        <v>0</v>
      </c>
      <c r="BO9" s="97">
        <f t="shared" si="9"/>
        <v>0</v>
      </c>
      <c r="BP9" s="97">
        <f t="shared" si="9"/>
        <v>0</v>
      </c>
      <c r="BQ9" s="97">
        <f t="shared" si="9"/>
        <v>0</v>
      </c>
      <c r="BR9" s="97">
        <f t="shared" ref="BR9:CW9" si="10">+SUM(BR20:BR26,BR36:BR40,BR44:BR46,BR50:BR52,BR59:BR61,BR66:BR74,BR77:BR86,BR90:BR91)</f>
        <v>0</v>
      </c>
      <c r="BS9" s="97">
        <f t="shared" si="10"/>
        <v>0</v>
      </c>
      <c r="BT9" s="97">
        <f t="shared" si="10"/>
        <v>0</v>
      </c>
      <c r="BU9" s="97">
        <f t="shared" si="10"/>
        <v>0</v>
      </c>
      <c r="BV9" s="97">
        <f t="shared" si="10"/>
        <v>0</v>
      </c>
      <c r="BW9" s="97">
        <f t="shared" si="10"/>
        <v>0</v>
      </c>
      <c r="BX9" s="97">
        <f t="shared" si="10"/>
        <v>0</v>
      </c>
      <c r="BY9" s="97">
        <f t="shared" si="10"/>
        <v>0</v>
      </c>
      <c r="BZ9" s="97">
        <f t="shared" si="10"/>
        <v>0</v>
      </c>
      <c r="CA9" s="97">
        <f t="shared" si="10"/>
        <v>0</v>
      </c>
      <c r="CB9" s="97">
        <f t="shared" si="10"/>
        <v>0</v>
      </c>
      <c r="CC9" s="97">
        <f t="shared" si="10"/>
        <v>0</v>
      </c>
      <c r="CD9" s="97">
        <f t="shared" si="10"/>
        <v>0</v>
      </c>
      <c r="CE9" s="97">
        <f t="shared" si="10"/>
        <v>0</v>
      </c>
      <c r="CF9" s="97">
        <f t="shared" si="10"/>
        <v>0</v>
      </c>
      <c r="CG9" s="97">
        <f t="shared" si="10"/>
        <v>0</v>
      </c>
      <c r="CH9" s="97">
        <f t="shared" si="10"/>
        <v>0</v>
      </c>
      <c r="CI9" s="97">
        <f t="shared" si="10"/>
        <v>0</v>
      </c>
      <c r="CJ9" s="97">
        <f t="shared" si="10"/>
        <v>0</v>
      </c>
      <c r="CK9" s="97">
        <f t="shared" si="10"/>
        <v>0</v>
      </c>
      <c r="CL9" s="97">
        <f t="shared" si="10"/>
        <v>0</v>
      </c>
      <c r="CM9" s="97">
        <f t="shared" si="10"/>
        <v>0</v>
      </c>
      <c r="CN9" s="97">
        <f t="shared" si="10"/>
        <v>0</v>
      </c>
      <c r="CO9" s="97">
        <f t="shared" si="10"/>
        <v>0</v>
      </c>
      <c r="CP9" s="97">
        <f t="shared" si="10"/>
        <v>0</v>
      </c>
      <c r="CQ9" s="97">
        <f t="shared" si="10"/>
        <v>0</v>
      </c>
      <c r="CR9" s="97">
        <f t="shared" si="10"/>
        <v>0</v>
      </c>
      <c r="CS9" s="97">
        <f t="shared" si="10"/>
        <v>0</v>
      </c>
      <c r="CT9" s="97">
        <f t="shared" si="10"/>
        <v>0</v>
      </c>
      <c r="CU9" s="97">
        <f t="shared" si="10"/>
        <v>0</v>
      </c>
      <c r="CV9" s="97">
        <f t="shared" si="10"/>
        <v>0</v>
      </c>
      <c r="CW9" s="97">
        <f t="shared" si="10"/>
        <v>0</v>
      </c>
      <c r="CX9" s="97">
        <f t="shared" ref="CX9:DV9" si="11">+SUM(CX20:CX26,CX36:CX40,CX44:CX46,CX50:CX52,CX59:CX61,CX66:CX74,CX77:CX86,CX90:CX91)</f>
        <v>0</v>
      </c>
      <c r="CY9" s="97">
        <f t="shared" si="11"/>
        <v>0</v>
      </c>
      <c r="CZ9" s="97">
        <f t="shared" si="11"/>
        <v>0</v>
      </c>
      <c r="DA9" s="97">
        <f t="shared" si="11"/>
        <v>0</v>
      </c>
      <c r="DB9" s="97">
        <f t="shared" si="11"/>
        <v>0</v>
      </c>
      <c r="DC9" s="97">
        <f t="shared" si="11"/>
        <v>0</v>
      </c>
      <c r="DD9" s="97">
        <f t="shared" si="11"/>
        <v>0</v>
      </c>
      <c r="DE9" s="97">
        <f t="shared" si="11"/>
        <v>0</v>
      </c>
      <c r="DF9" s="97">
        <f t="shared" si="11"/>
        <v>0</v>
      </c>
      <c r="DG9" s="97">
        <f t="shared" si="11"/>
        <v>0</v>
      </c>
      <c r="DH9" s="97">
        <f t="shared" si="11"/>
        <v>0</v>
      </c>
      <c r="DI9" s="97">
        <f t="shared" si="11"/>
        <v>0</v>
      </c>
      <c r="DJ9" s="97">
        <f t="shared" si="11"/>
        <v>0</v>
      </c>
      <c r="DK9" s="97">
        <f t="shared" si="11"/>
        <v>0</v>
      </c>
      <c r="DL9" s="97">
        <f t="shared" si="11"/>
        <v>0</v>
      </c>
      <c r="DM9" s="97">
        <f t="shared" si="11"/>
        <v>0</v>
      </c>
      <c r="DN9" s="97">
        <f t="shared" si="11"/>
        <v>0</v>
      </c>
      <c r="DO9" s="97">
        <f t="shared" si="11"/>
        <v>0</v>
      </c>
      <c r="DP9" s="97">
        <f t="shared" si="11"/>
        <v>0</v>
      </c>
      <c r="DQ9" s="97">
        <f t="shared" si="11"/>
        <v>0</v>
      </c>
      <c r="DR9" s="97">
        <f t="shared" si="11"/>
        <v>0</v>
      </c>
      <c r="DS9" s="97">
        <f t="shared" si="11"/>
        <v>0</v>
      </c>
      <c r="DT9" s="97">
        <f t="shared" si="11"/>
        <v>0</v>
      </c>
      <c r="DU9" s="97">
        <f t="shared" si="11"/>
        <v>0</v>
      </c>
      <c r="DV9" s="97">
        <f t="shared" si="11"/>
        <v>0</v>
      </c>
    </row>
    <row r="10" spans="1:127" x14ac:dyDescent="0.25">
      <c r="A10" s="11" t="s">
        <v>331</v>
      </c>
      <c r="B10" s="102">
        <f>IF(IF((F9/(B11*B12-AVERAGEIF(G10:DV10,"&gt;0")))&gt;120,120,(F9/(B11*B12-AVERAGEIF(G10:DV10,"&gt;0"))))&lt;0,120,IF((F9/(B11*B12-AVERAGEIF(G10:DV10,"&gt;0")))&gt;120,120,(F9/(B11*B12-AVERAGEIF(G10:DV10,"&gt;0")))))</f>
        <v>4.8683764032282433</v>
      </c>
      <c r="E10" s="7" t="s">
        <v>294</v>
      </c>
      <c r="F10" s="8">
        <f t="shared" ref="F10:AK10" si="12">+SUM(F19,F27:F35,F43,F47:F48,F54:F57,F62:F65,F75,F89)+F11+F12</f>
        <v>29845750.170728683</v>
      </c>
      <c r="G10" s="8">
        <f t="shared" si="12"/>
        <v>0</v>
      </c>
      <c r="H10" s="8">
        <f t="shared" si="12"/>
        <v>15247230.701415917</v>
      </c>
      <c r="I10" s="8">
        <f t="shared" si="12"/>
        <v>15247230.701415917</v>
      </c>
      <c r="J10" s="8">
        <f t="shared" si="12"/>
        <v>15247230.701415917</v>
      </c>
      <c r="K10" s="8">
        <f t="shared" si="12"/>
        <v>12060445.701415917</v>
      </c>
      <c r="L10" s="8">
        <f t="shared" si="12"/>
        <v>15142042.837935917</v>
      </c>
      <c r="M10" s="8">
        <f t="shared" si="12"/>
        <v>15142042.837935917</v>
      </c>
      <c r="N10" s="8">
        <f t="shared" si="12"/>
        <v>15596304.123073995</v>
      </c>
      <c r="O10" s="8">
        <f t="shared" si="12"/>
        <v>15596304.123073995</v>
      </c>
      <c r="P10" s="8">
        <f t="shared" si="12"/>
        <v>15596304.123073995</v>
      </c>
      <c r="Q10" s="8">
        <f t="shared" si="12"/>
        <v>15596304.123073995</v>
      </c>
      <c r="R10" s="8">
        <f t="shared" si="12"/>
        <v>15596304.123073995</v>
      </c>
      <c r="S10" s="8">
        <f t="shared" si="12"/>
        <v>18615606.639923368</v>
      </c>
      <c r="T10" s="8">
        <f t="shared" si="12"/>
        <v>18615606.639923368</v>
      </c>
      <c r="U10" s="8">
        <f t="shared" si="12"/>
        <v>18615606.639923368</v>
      </c>
      <c r="V10" s="8">
        <f t="shared" si="12"/>
        <v>18615606.639923368</v>
      </c>
      <c r="W10" s="8">
        <f t="shared" si="12"/>
        <v>18615606.639923368</v>
      </c>
      <c r="X10" s="8">
        <f t="shared" si="12"/>
        <v>18615606.639923368</v>
      </c>
      <c r="Y10" s="8">
        <f t="shared" si="12"/>
        <v>18615606.639923368</v>
      </c>
      <c r="Z10" s="8">
        <f t="shared" si="12"/>
        <v>19174074.83912107</v>
      </c>
      <c r="AA10" s="8">
        <f t="shared" si="12"/>
        <v>19174074.83912107</v>
      </c>
      <c r="AB10" s="8">
        <f t="shared" si="12"/>
        <v>19174074.83912107</v>
      </c>
      <c r="AC10" s="8">
        <f t="shared" si="12"/>
        <v>19174074.83912107</v>
      </c>
      <c r="AD10" s="8">
        <f t="shared" si="12"/>
        <v>19174074.83912107</v>
      </c>
      <c r="AE10" s="8">
        <f t="shared" si="12"/>
        <v>20573145.628762916</v>
      </c>
      <c r="AF10" s="8">
        <f t="shared" si="12"/>
        <v>20573145.628762916</v>
      </c>
      <c r="AG10" s="8">
        <f t="shared" si="12"/>
        <v>20573145.628762916</v>
      </c>
      <c r="AH10" s="8">
        <f t="shared" si="12"/>
        <v>20573145.628762916</v>
      </c>
      <c r="AI10" s="8">
        <f t="shared" si="12"/>
        <v>20573145.628762916</v>
      </c>
      <c r="AJ10" s="8">
        <f t="shared" si="12"/>
        <v>20573145.628762916</v>
      </c>
      <c r="AK10" s="8">
        <f t="shared" si="12"/>
        <v>20573145.628762916</v>
      </c>
      <c r="AL10" s="8">
        <f t="shared" ref="AL10:BQ10" si="13">+SUM(AL19,AL27:AL35,AL43,AL47:AL48,AL54:AL57,AL62:AL65,AL75,AL89)+AL11+AL12</f>
        <v>21190339.997625805</v>
      </c>
      <c r="AM10" s="8">
        <f t="shared" si="13"/>
        <v>21190339.997625805</v>
      </c>
      <c r="AN10" s="8">
        <f t="shared" si="13"/>
        <v>21190339.997625805</v>
      </c>
      <c r="AO10" s="8">
        <f t="shared" si="13"/>
        <v>21190339.997625805</v>
      </c>
      <c r="AP10" s="8">
        <f t="shared" si="13"/>
        <v>21190339.997625805</v>
      </c>
      <c r="AQ10" s="8">
        <f t="shared" si="13"/>
        <v>21190339.997625805</v>
      </c>
      <c r="AR10" s="8">
        <f t="shared" si="13"/>
        <v>21190339.997625805</v>
      </c>
      <c r="AS10" s="8">
        <f t="shared" si="13"/>
        <v>21190339.997625805</v>
      </c>
      <c r="AT10" s="8">
        <f t="shared" si="13"/>
        <v>21190339.997625805</v>
      </c>
      <c r="AU10" s="8">
        <f t="shared" si="13"/>
        <v>21190339.997625805</v>
      </c>
      <c r="AV10" s="8">
        <f t="shared" si="13"/>
        <v>21190339.997625805</v>
      </c>
      <c r="AW10" s="8">
        <f t="shared" si="13"/>
        <v>21190339.997625805</v>
      </c>
      <c r="AX10" s="8">
        <f t="shared" si="13"/>
        <v>21826050.197554581</v>
      </c>
      <c r="AY10" s="8">
        <f t="shared" si="13"/>
        <v>21826050.197554581</v>
      </c>
      <c r="AZ10" s="8">
        <f t="shared" si="13"/>
        <v>21826050.197554581</v>
      </c>
      <c r="BA10" s="8">
        <f t="shared" si="13"/>
        <v>21826050.197554581</v>
      </c>
      <c r="BB10" s="8">
        <f t="shared" si="13"/>
        <v>21826050.197554581</v>
      </c>
      <c r="BC10" s="8">
        <f t="shared" si="13"/>
        <v>21826050.197554581</v>
      </c>
      <c r="BD10" s="8">
        <f t="shared" si="13"/>
        <v>21826050.197554581</v>
      </c>
      <c r="BE10" s="8">
        <f t="shared" si="13"/>
        <v>21826050.197554581</v>
      </c>
      <c r="BF10" s="8">
        <f t="shared" si="13"/>
        <v>21826050.197554581</v>
      </c>
      <c r="BG10" s="8">
        <f t="shared" si="13"/>
        <v>21826050.197554581</v>
      </c>
      <c r="BH10" s="8">
        <f t="shared" si="13"/>
        <v>21826050.197554581</v>
      </c>
      <c r="BI10" s="8">
        <f t="shared" si="13"/>
        <v>21826050.197554581</v>
      </c>
      <c r="BJ10" s="8">
        <f t="shared" si="13"/>
        <v>22480831.703481223</v>
      </c>
      <c r="BK10" s="8">
        <f t="shared" si="13"/>
        <v>0</v>
      </c>
      <c r="BL10" s="8">
        <f t="shared" si="13"/>
        <v>0</v>
      </c>
      <c r="BM10" s="8">
        <f t="shared" si="13"/>
        <v>0</v>
      </c>
      <c r="BN10" s="8">
        <f t="shared" si="13"/>
        <v>0</v>
      </c>
      <c r="BO10" s="8">
        <f t="shared" si="13"/>
        <v>0</v>
      </c>
      <c r="BP10" s="8">
        <f t="shared" si="13"/>
        <v>0</v>
      </c>
      <c r="BQ10" s="8">
        <f t="shared" si="13"/>
        <v>0</v>
      </c>
      <c r="BR10" s="8">
        <f t="shared" ref="BR10:CW10" si="14">+SUM(BR19,BR27:BR35,BR43,BR47:BR48,BR54:BR57,BR62:BR65,BR75,BR89)+BR11+BR12</f>
        <v>0</v>
      </c>
      <c r="BS10" s="8">
        <f t="shared" si="14"/>
        <v>0</v>
      </c>
      <c r="BT10" s="8">
        <f t="shared" si="14"/>
        <v>0</v>
      </c>
      <c r="BU10" s="8">
        <f t="shared" si="14"/>
        <v>0</v>
      </c>
      <c r="BV10" s="8">
        <f t="shared" si="14"/>
        <v>0</v>
      </c>
      <c r="BW10" s="8">
        <f t="shared" si="14"/>
        <v>0</v>
      </c>
      <c r="BX10" s="8">
        <f t="shared" si="14"/>
        <v>0</v>
      </c>
      <c r="BY10" s="8">
        <f t="shared" si="14"/>
        <v>0</v>
      </c>
      <c r="BZ10" s="8">
        <f t="shared" si="14"/>
        <v>0</v>
      </c>
      <c r="CA10" s="8">
        <f t="shared" si="14"/>
        <v>0</v>
      </c>
      <c r="CB10" s="8">
        <f t="shared" si="14"/>
        <v>0</v>
      </c>
      <c r="CC10" s="8">
        <f t="shared" si="14"/>
        <v>0</v>
      </c>
      <c r="CD10" s="8">
        <f t="shared" si="14"/>
        <v>0</v>
      </c>
      <c r="CE10" s="8">
        <f t="shared" si="14"/>
        <v>0</v>
      </c>
      <c r="CF10" s="8">
        <f t="shared" si="14"/>
        <v>0</v>
      </c>
      <c r="CG10" s="8">
        <f t="shared" si="14"/>
        <v>0</v>
      </c>
      <c r="CH10" s="8">
        <f t="shared" si="14"/>
        <v>0</v>
      </c>
      <c r="CI10" s="8">
        <f t="shared" si="14"/>
        <v>0</v>
      </c>
      <c r="CJ10" s="8">
        <f t="shared" si="14"/>
        <v>0</v>
      </c>
      <c r="CK10" s="8">
        <f t="shared" si="14"/>
        <v>0</v>
      </c>
      <c r="CL10" s="8">
        <f t="shared" si="14"/>
        <v>0</v>
      </c>
      <c r="CM10" s="8">
        <f t="shared" si="14"/>
        <v>0</v>
      </c>
      <c r="CN10" s="8">
        <f t="shared" si="14"/>
        <v>0</v>
      </c>
      <c r="CO10" s="8">
        <f t="shared" si="14"/>
        <v>0</v>
      </c>
      <c r="CP10" s="8">
        <f t="shared" si="14"/>
        <v>0</v>
      </c>
      <c r="CQ10" s="8">
        <f t="shared" si="14"/>
        <v>0</v>
      </c>
      <c r="CR10" s="8">
        <f t="shared" si="14"/>
        <v>0</v>
      </c>
      <c r="CS10" s="8">
        <f t="shared" si="14"/>
        <v>0</v>
      </c>
      <c r="CT10" s="8">
        <f t="shared" si="14"/>
        <v>0</v>
      </c>
      <c r="CU10" s="8">
        <f t="shared" si="14"/>
        <v>0</v>
      </c>
      <c r="CV10" s="8">
        <f t="shared" si="14"/>
        <v>0</v>
      </c>
      <c r="CW10" s="8">
        <f t="shared" si="14"/>
        <v>0</v>
      </c>
      <c r="CX10" s="8">
        <f t="shared" ref="CX10:DV10" si="15">+SUM(CX19,CX27:CX35,CX43,CX47:CX48,CX54:CX57,CX62:CX65,CX75,CX89)+CX11+CX12</f>
        <v>0</v>
      </c>
      <c r="CY10" s="8">
        <f t="shared" si="15"/>
        <v>0</v>
      </c>
      <c r="CZ10" s="8">
        <f t="shared" si="15"/>
        <v>0</v>
      </c>
      <c r="DA10" s="8">
        <f t="shared" si="15"/>
        <v>0</v>
      </c>
      <c r="DB10" s="8">
        <f t="shared" si="15"/>
        <v>0</v>
      </c>
      <c r="DC10" s="8">
        <f t="shared" si="15"/>
        <v>0</v>
      </c>
      <c r="DD10" s="8">
        <f t="shared" si="15"/>
        <v>0</v>
      </c>
      <c r="DE10" s="8">
        <f t="shared" si="15"/>
        <v>0</v>
      </c>
      <c r="DF10" s="8">
        <f t="shared" si="15"/>
        <v>0</v>
      </c>
      <c r="DG10" s="8">
        <f t="shared" si="15"/>
        <v>0</v>
      </c>
      <c r="DH10" s="8">
        <f t="shared" si="15"/>
        <v>0</v>
      </c>
      <c r="DI10" s="8">
        <f t="shared" si="15"/>
        <v>0</v>
      </c>
      <c r="DJ10" s="8">
        <f t="shared" si="15"/>
        <v>0</v>
      </c>
      <c r="DK10" s="8">
        <f t="shared" si="15"/>
        <v>0</v>
      </c>
      <c r="DL10" s="8">
        <f t="shared" si="15"/>
        <v>0</v>
      </c>
      <c r="DM10" s="8">
        <f t="shared" si="15"/>
        <v>0</v>
      </c>
      <c r="DN10" s="8">
        <f t="shared" si="15"/>
        <v>0</v>
      </c>
      <c r="DO10" s="8">
        <f t="shared" si="15"/>
        <v>0</v>
      </c>
      <c r="DP10" s="8">
        <f t="shared" si="15"/>
        <v>0</v>
      </c>
      <c r="DQ10" s="8">
        <f t="shared" si="15"/>
        <v>0</v>
      </c>
      <c r="DR10" s="8">
        <f t="shared" si="15"/>
        <v>0</v>
      </c>
      <c r="DS10" s="8">
        <f t="shared" si="15"/>
        <v>0</v>
      </c>
      <c r="DT10" s="8">
        <f t="shared" si="15"/>
        <v>0</v>
      </c>
      <c r="DU10" s="8">
        <f t="shared" si="15"/>
        <v>0</v>
      </c>
      <c r="DV10" s="8">
        <f t="shared" si="15"/>
        <v>0</v>
      </c>
    </row>
    <row r="11" spans="1:127" x14ac:dyDescent="0.25">
      <c r="A11" s="11" t="s">
        <v>138</v>
      </c>
      <c r="B11" s="28">
        <v>50000</v>
      </c>
      <c r="E11" s="96" t="s">
        <v>57</v>
      </c>
      <c r="F11" s="97">
        <f t="shared" ref="F11:AK11" si="16">+SUM(F19,F27:F35,F43,F47:F48,F54:F57,F62:F65,F75,F89)*4.7%</f>
        <v>0</v>
      </c>
      <c r="G11" s="97">
        <f t="shared" si="16"/>
        <v>0</v>
      </c>
      <c r="H11" s="97">
        <f t="shared" si="16"/>
        <v>653254.18684279686</v>
      </c>
      <c r="I11" s="97">
        <f t="shared" si="16"/>
        <v>653254.18684279686</v>
      </c>
      <c r="J11" s="97">
        <f t="shared" si="16"/>
        <v>653254.18684279686</v>
      </c>
      <c r="K11" s="97">
        <f t="shared" si="16"/>
        <v>516719.1868427968</v>
      </c>
      <c r="L11" s="97">
        <f t="shared" si="16"/>
        <v>648747.50536279683</v>
      </c>
      <c r="M11" s="97">
        <f t="shared" si="16"/>
        <v>648747.50536279683</v>
      </c>
      <c r="N11" s="97">
        <f t="shared" si="16"/>
        <v>668209.93052368076</v>
      </c>
      <c r="O11" s="97">
        <f t="shared" si="16"/>
        <v>668209.93052368076</v>
      </c>
      <c r="P11" s="97">
        <f t="shared" si="16"/>
        <v>668209.93052368076</v>
      </c>
      <c r="Q11" s="97">
        <f t="shared" si="16"/>
        <v>668209.93052368076</v>
      </c>
      <c r="R11" s="97">
        <f t="shared" si="16"/>
        <v>668209.93052368076</v>
      </c>
      <c r="S11" s="97">
        <f t="shared" si="16"/>
        <v>797070.59677800885</v>
      </c>
      <c r="T11" s="97">
        <f t="shared" si="16"/>
        <v>797070.59677800885</v>
      </c>
      <c r="U11" s="97">
        <f t="shared" si="16"/>
        <v>797070.59677800885</v>
      </c>
      <c r="V11" s="97">
        <f t="shared" si="16"/>
        <v>797070.59677800885</v>
      </c>
      <c r="W11" s="97">
        <f t="shared" si="16"/>
        <v>797070.59677800885</v>
      </c>
      <c r="X11" s="97">
        <f t="shared" si="16"/>
        <v>797070.59677800885</v>
      </c>
      <c r="Y11" s="97">
        <f t="shared" si="16"/>
        <v>797070.59677800885</v>
      </c>
      <c r="Z11" s="97">
        <f t="shared" si="16"/>
        <v>820982.714681349</v>
      </c>
      <c r="AA11" s="97">
        <f t="shared" si="16"/>
        <v>820982.714681349</v>
      </c>
      <c r="AB11" s="97">
        <f t="shared" si="16"/>
        <v>820982.714681349</v>
      </c>
      <c r="AC11" s="97">
        <f t="shared" si="16"/>
        <v>820982.714681349</v>
      </c>
      <c r="AD11" s="97">
        <f t="shared" si="16"/>
        <v>820982.714681349</v>
      </c>
      <c r="AE11" s="97">
        <f t="shared" si="16"/>
        <v>880924.67194038897</v>
      </c>
      <c r="AF11" s="97">
        <f t="shared" si="16"/>
        <v>880924.67194038897</v>
      </c>
      <c r="AG11" s="97">
        <f t="shared" si="16"/>
        <v>880924.67194038897</v>
      </c>
      <c r="AH11" s="97">
        <f t="shared" si="16"/>
        <v>880924.67194038897</v>
      </c>
      <c r="AI11" s="97">
        <f t="shared" si="16"/>
        <v>880924.67194038897</v>
      </c>
      <c r="AJ11" s="97">
        <f t="shared" si="16"/>
        <v>880924.67194038897</v>
      </c>
      <c r="AK11" s="97">
        <f t="shared" si="16"/>
        <v>880924.67194038897</v>
      </c>
      <c r="AL11" s="97">
        <f t="shared" ref="AL11:BQ11" si="17">+SUM(AL19,AL27:AL35,AL43,AL47:AL48,AL54:AL57,AL62:AL65,AL75,AL89)*4.7%</f>
        <v>907352.41209860065</v>
      </c>
      <c r="AM11" s="97">
        <f t="shared" si="17"/>
        <v>907352.41209860065</v>
      </c>
      <c r="AN11" s="97">
        <f t="shared" si="17"/>
        <v>907352.41209860065</v>
      </c>
      <c r="AO11" s="97">
        <f t="shared" si="17"/>
        <v>907352.41209860065</v>
      </c>
      <c r="AP11" s="97">
        <f t="shared" si="17"/>
        <v>907352.41209860065</v>
      </c>
      <c r="AQ11" s="97">
        <f t="shared" si="17"/>
        <v>907352.41209860065</v>
      </c>
      <c r="AR11" s="97">
        <f t="shared" si="17"/>
        <v>907352.41209860065</v>
      </c>
      <c r="AS11" s="97">
        <f t="shared" si="17"/>
        <v>907352.41209860065</v>
      </c>
      <c r="AT11" s="97">
        <f t="shared" si="17"/>
        <v>907352.41209860065</v>
      </c>
      <c r="AU11" s="97">
        <f t="shared" si="17"/>
        <v>907352.41209860065</v>
      </c>
      <c r="AV11" s="97">
        <f t="shared" si="17"/>
        <v>907352.41209860065</v>
      </c>
      <c r="AW11" s="97">
        <f t="shared" si="17"/>
        <v>907352.41209860065</v>
      </c>
      <c r="AX11" s="97">
        <f t="shared" si="17"/>
        <v>934572.98446155887</v>
      </c>
      <c r="AY11" s="97">
        <f t="shared" si="17"/>
        <v>934572.98446155887</v>
      </c>
      <c r="AZ11" s="97">
        <f t="shared" si="17"/>
        <v>934572.98446155887</v>
      </c>
      <c r="BA11" s="97">
        <f t="shared" si="17"/>
        <v>934572.98446155887</v>
      </c>
      <c r="BB11" s="97">
        <f t="shared" si="17"/>
        <v>934572.98446155887</v>
      </c>
      <c r="BC11" s="97">
        <f t="shared" si="17"/>
        <v>934572.98446155887</v>
      </c>
      <c r="BD11" s="97">
        <f t="shared" si="17"/>
        <v>934572.98446155887</v>
      </c>
      <c r="BE11" s="97">
        <f t="shared" si="17"/>
        <v>934572.98446155887</v>
      </c>
      <c r="BF11" s="97">
        <f t="shared" si="17"/>
        <v>934572.98446155887</v>
      </c>
      <c r="BG11" s="97">
        <f t="shared" si="17"/>
        <v>934572.98446155887</v>
      </c>
      <c r="BH11" s="97">
        <f t="shared" si="17"/>
        <v>934572.98446155887</v>
      </c>
      <c r="BI11" s="97">
        <f t="shared" si="17"/>
        <v>934572.98446155887</v>
      </c>
      <c r="BJ11" s="97">
        <f t="shared" si="17"/>
        <v>962610.1739954059</v>
      </c>
      <c r="BK11" s="97">
        <f t="shared" si="17"/>
        <v>0</v>
      </c>
      <c r="BL11" s="97">
        <f t="shared" si="17"/>
        <v>0</v>
      </c>
      <c r="BM11" s="97">
        <f t="shared" si="17"/>
        <v>0</v>
      </c>
      <c r="BN11" s="97">
        <f t="shared" si="17"/>
        <v>0</v>
      </c>
      <c r="BO11" s="97">
        <f t="shared" si="17"/>
        <v>0</v>
      </c>
      <c r="BP11" s="97">
        <f t="shared" si="17"/>
        <v>0</v>
      </c>
      <c r="BQ11" s="97">
        <f t="shared" si="17"/>
        <v>0</v>
      </c>
      <c r="BR11" s="97">
        <f t="shared" ref="BR11:CW11" si="18">+SUM(BR19,BR27:BR35,BR43,BR47:BR48,BR54:BR57,BR62:BR65,BR75,BR89)*4.7%</f>
        <v>0</v>
      </c>
      <c r="BS11" s="97">
        <f t="shared" si="18"/>
        <v>0</v>
      </c>
      <c r="BT11" s="97">
        <f t="shared" si="18"/>
        <v>0</v>
      </c>
      <c r="BU11" s="97">
        <f t="shared" si="18"/>
        <v>0</v>
      </c>
      <c r="BV11" s="97">
        <f t="shared" si="18"/>
        <v>0</v>
      </c>
      <c r="BW11" s="97">
        <f t="shared" si="18"/>
        <v>0</v>
      </c>
      <c r="BX11" s="97">
        <f t="shared" si="18"/>
        <v>0</v>
      </c>
      <c r="BY11" s="97">
        <f t="shared" si="18"/>
        <v>0</v>
      </c>
      <c r="BZ11" s="97">
        <f t="shared" si="18"/>
        <v>0</v>
      </c>
      <c r="CA11" s="97">
        <f t="shared" si="18"/>
        <v>0</v>
      </c>
      <c r="CB11" s="97">
        <f t="shared" si="18"/>
        <v>0</v>
      </c>
      <c r="CC11" s="97">
        <f t="shared" si="18"/>
        <v>0</v>
      </c>
      <c r="CD11" s="97">
        <f t="shared" si="18"/>
        <v>0</v>
      </c>
      <c r="CE11" s="97">
        <f t="shared" si="18"/>
        <v>0</v>
      </c>
      <c r="CF11" s="97">
        <f t="shared" si="18"/>
        <v>0</v>
      </c>
      <c r="CG11" s="97">
        <f t="shared" si="18"/>
        <v>0</v>
      </c>
      <c r="CH11" s="97">
        <f t="shared" si="18"/>
        <v>0</v>
      </c>
      <c r="CI11" s="97">
        <f t="shared" si="18"/>
        <v>0</v>
      </c>
      <c r="CJ11" s="97">
        <f t="shared" si="18"/>
        <v>0</v>
      </c>
      <c r="CK11" s="97">
        <f t="shared" si="18"/>
        <v>0</v>
      </c>
      <c r="CL11" s="97">
        <f t="shared" si="18"/>
        <v>0</v>
      </c>
      <c r="CM11" s="97">
        <f t="shared" si="18"/>
        <v>0</v>
      </c>
      <c r="CN11" s="97">
        <f t="shared" si="18"/>
        <v>0</v>
      </c>
      <c r="CO11" s="97">
        <f t="shared" si="18"/>
        <v>0</v>
      </c>
      <c r="CP11" s="97">
        <f t="shared" si="18"/>
        <v>0</v>
      </c>
      <c r="CQ11" s="97">
        <f t="shared" si="18"/>
        <v>0</v>
      </c>
      <c r="CR11" s="97">
        <f t="shared" si="18"/>
        <v>0</v>
      </c>
      <c r="CS11" s="97">
        <f t="shared" si="18"/>
        <v>0</v>
      </c>
      <c r="CT11" s="97">
        <f t="shared" si="18"/>
        <v>0</v>
      </c>
      <c r="CU11" s="97">
        <f t="shared" si="18"/>
        <v>0</v>
      </c>
      <c r="CV11" s="97">
        <f t="shared" si="18"/>
        <v>0</v>
      </c>
      <c r="CW11" s="97">
        <f t="shared" si="18"/>
        <v>0</v>
      </c>
      <c r="CX11" s="97">
        <f t="shared" ref="CX11:DV11" si="19">+SUM(CX19,CX27:CX35,CX43,CX47:CX48,CX54:CX57,CX62:CX65,CX75,CX89)*4.7%</f>
        <v>0</v>
      </c>
      <c r="CY11" s="97">
        <f t="shared" si="19"/>
        <v>0</v>
      </c>
      <c r="CZ11" s="97">
        <f t="shared" si="19"/>
        <v>0</v>
      </c>
      <c r="DA11" s="97">
        <f t="shared" si="19"/>
        <v>0</v>
      </c>
      <c r="DB11" s="97">
        <f t="shared" si="19"/>
        <v>0</v>
      </c>
      <c r="DC11" s="97">
        <f t="shared" si="19"/>
        <v>0</v>
      </c>
      <c r="DD11" s="97">
        <f t="shared" si="19"/>
        <v>0</v>
      </c>
      <c r="DE11" s="97">
        <f t="shared" si="19"/>
        <v>0</v>
      </c>
      <c r="DF11" s="97">
        <f t="shared" si="19"/>
        <v>0</v>
      </c>
      <c r="DG11" s="97">
        <f t="shared" si="19"/>
        <v>0</v>
      </c>
      <c r="DH11" s="97">
        <f t="shared" si="19"/>
        <v>0</v>
      </c>
      <c r="DI11" s="97">
        <f t="shared" si="19"/>
        <v>0</v>
      </c>
      <c r="DJ11" s="97">
        <f t="shared" si="19"/>
        <v>0</v>
      </c>
      <c r="DK11" s="97">
        <f t="shared" si="19"/>
        <v>0</v>
      </c>
      <c r="DL11" s="97">
        <f t="shared" si="19"/>
        <v>0</v>
      </c>
      <c r="DM11" s="97">
        <f t="shared" si="19"/>
        <v>0</v>
      </c>
      <c r="DN11" s="97">
        <f t="shared" si="19"/>
        <v>0</v>
      </c>
      <c r="DO11" s="97">
        <f t="shared" si="19"/>
        <v>0</v>
      </c>
      <c r="DP11" s="97">
        <f t="shared" si="19"/>
        <v>0</v>
      </c>
      <c r="DQ11" s="97">
        <f t="shared" si="19"/>
        <v>0</v>
      </c>
      <c r="DR11" s="97">
        <f t="shared" si="19"/>
        <v>0</v>
      </c>
      <c r="DS11" s="97">
        <f t="shared" si="19"/>
        <v>0</v>
      </c>
      <c r="DT11" s="97">
        <f t="shared" si="19"/>
        <v>0</v>
      </c>
      <c r="DU11" s="97">
        <f t="shared" si="19"/>
        <v>0</v>
      </c>
      <c r="DV11" s="97">
        <f t="shared" si="19"/>
        <v>0</v>
      </c>
    </row>
    <row r="12" spans="1:127" x14ac:dyDescent="0.25">
      <c r="A12" s="11" t="s">
        <v>139</v>
      </c>
      <c r="B12" s="102">
        <f>SubscriptoresSugeridos</f>
        <v>2843.1</v>
      </c>
      <c r="C12" s="2"/>
      <c r="E12" s="7" t="s">
        <v>55</v>
      </c>
      <c r="F12" s="8">
        <f t="shared" ref="F12:AK12" si="20">+SUM(F17:F91)*$B$6</f>
        <v>29845750.170728683</v>
      </c>
      <c r="G12" s="8">
        <f t="shared" si="20"/>
        <v>0</v>
      </c>
      <c r="H12" s="8">
        <f t="shared" si="20"/>
        <v>694951.26259872003</v>
      </c>
      <c r="I12" s="8">
        <f t="shared" si="20"/>
        <v>694951.26259872003</v>
      </c>
      <c r="J12" s="8">
        <f t="shared" si="20"/>
        <v>694951.26259872003</v>
      </c>
      <c r="K12" s="8">
        <f t="shared" si="20"/>
        <v>549701.26259872003</v>
      </c>
      <c r="L12" s="8">
        <f t="shared" si="20"/>
        <v>690156.92059872008</v>
      </c>
      <c r="M12" s="8">
        <f t="shared" si="20"/>
        <v>690156.92059872008</v>
      </c>
      <c r="N12" s="8">
        <f t="shared" si="20"/>
        <v>710861.62821668165</v>
      </c>
      <c r="O12" s="8">
        <f t="shared" si="20"/>
        <v>710861.62821668165</v>
      </c>
      <c r="P12" s="8">
        <f t="shared" si="20"/>
        <v>710861.62821668165</v>
      </c>
      <c r="Q12" s="8">
        <f t="shared" si="20"/>
        <v>710861.62821668165</v>
      </c>
      <c r="R12" s="8">
        <f t="shared" si="20"/>
        <v>710861.62821668165</v>
      </c>
      <c r="S12" s="8">
        <f t="shared" si="20"/>
        <v>859587.17552815157</v>
      </c>
      <c r="T12" s="8">
        <f t="shared" si="20"/>
        <v>859587.17552815157</v>
      </c>
      <c r="U12" s="8">
        <f t="shared" si="20"/>
        <v>859587.17552815157</v>
      </c>
      <c r="V12" s="8">
        <f t="shared" si="20"/>
        <v>859587.17552815157</v>
      </c>
      <c r="W12" s="8">
        <f t="shared" si="20"/>
        <v>859587.17552815157</v>
      </c>
      <c r="X12" s="8">
        <f t="shared" si="20"/>
        <v>859587.17552815157</v>
      </c>
      <c r="Y12" s="8">
        <f t="shared" si="20"/>
        <v>859587.17552815157</v>
      </c>
      <c r="Z12" s="8">
        <f t="shared" si="20"/>
        <v>885374.79079399619</v>
      </c>
      <c r="AA12" s="8">
        <f t="shared" si="20"/>
        <v>885374.79079399619</v>
      </c>
      <c r="AB12" s="8">
        <f t="shared" si="20"/>
        <v>885374.79079399619</v>
      </c>
      <c r="AC12" s="8">
        <f t="shared" si="20"/>
        <v>885374.79079399619</v>
      </c>
      <c r="AD12" s="8">
        <f t="shared" si="20"/>
        <v>885374.79079399619</v>
      </c>
      <c r="AE12" s="8">
        <f t="shared" si="20"/>
        <v>949142.83043127274</v>
      </c>
      <c r="AF12" s="8">
        <f t="shared" si="20"/>
        <v>949142.83043127274</v>
      </c>
      <c r="AG12" s="8">
        <f t="shared" si="20"/>
        <v>949142.83043127274</v>
      </c>
      <c r="AH12" s="8">
        <f t="shared" si="20"/>
        <v>949142.83043127274</v>
      </c>
      <c r="AI12" s="8">
        <f t="shared" si="20"/>
        <v>949142.83043127274</v>
      </c>
      <c r="AJ12" s="8">
        <f t="shared" si="20"/>
        <v>949142.83043127274</v>
      </c>
      <c r="AK12" s="8">
        <f t="shared" si="20"/>
        <v>949142.83043127274</v>
      </c>
      <c r="AL12" s="8">
        <f t="shared" ref="AL12:BQ12" si="21">+SUM(AL17:AL91)*$B$6</f>
        <v>977617.11534421099</v>
      </c>
      <c r="AM12" s="8">
        <f t="shared" si="21"/>
        <v>977617.11534421099</v>
      </c>
      <c r="AN12" s="8">
        <f t="shared" si="21"/>
        <v>977617.11534421099</v>
      </c>
      <c r="AO12" s="8">
        <f t="shared" si="21"/>
        <v>977617.11534421099</v>
      </c>
      <c r="AP12" s="8">
        <f t="shared" si="21"/>
        <v>977617.11534421099</v>
      </c>
      <c r="AQ12" s="8">
        <f t="shared" si="21"/>
        <v>977617.11534421099</v>
      </c>
      <c r="AR12" s="8">
        <f t="shared" si="21"/>
        <v>977617.11534421099</v>
      </c>
      <c r="AS12" s="8">
        <f t="shared" si="21"/>
        <v>977617.11534421099</v>
      </c>
      <c r="AT12" s="8">
        <f t="shared" si="21"/>
        <v>977617.11534421099</v>
      </c>
      <c r="AU12" s="8">
        <f t="shared" si="21"/>
        <v>977617.11534421099</v>
      </c>
      <c r="AV12" s="8">
        <f t="shared" si="21"/>
        <v>977617.11534421099</v>
      </c>
      <c r="AW12" s="8">
        <f t="shared" si="21"/>
        <v>977617.11534421099</v>
      </c>
      <c r="AX12" s="8">
        <f t="shared" si="21"/>
        <v>1006945.6288045374</v>
      </c>
      <c r="AY12" s="8">
        <f t="shared" si="21"/>
        <v>1006945.6288045374</v>
      </c>
      <c r="AZ12" s="8">
        <f t="shared" si="21"/>
        <v>1006945.6288045374</v>
      </c>
      <c r="BA12" s="8">
        <f t="shared" si="21"/>
        <v>1006945.6288045374</v>
      </c>
      <c r="BB12" s="8">
        <f t="shared" si="21"/>
        <v>1006945.6288045374</v>
      </c>
      <c r="BC12" s="8">
        <f t="shared" si="21"/>
        <v>1006945.6288045374</v>
      </c>
      <c r="BD12" s="8">
        <f t="shared" si="21"/>
        <v>1006945.6288045374</v>
      </c>
      <c r="BE12" s="8">
        <f t="shared" si="21"/>
        <v>1006945.6288045374</v>
      </c>
      <c r="BF12" s="8">
        <f t="shared" si="21"/>
        <v>1006945.6288045374</v>
      </c>
      <c r="BG12" s="8">
        <f t="shared" si="21"/>
        <v>1006945.6288045374</v>
      </c>
      <c r="BH12" s="8">
        <f t="shared" si="21"/>
        <v>1006945.6288045374</v>
      </c>
      <c r="BI12" s="8">
        <f t="shared" si="21"/>
        <v>1006945.6288045374</v>
      </c>
      <c r="BJ12" s="8">
        <f t="shared" si="21"/>
        <v>1037153.9976686735</v>
      </c>
      <c r="BK12" s="8">
        <f t="shared" si="21"/>
        <v>0</v>
      </c>
      <c r="BL12" s="8">
        <f t="shared" si="21"/>
        <v>0</v>
      </c>
      <c r="BM12" s="8">
        <f t="shared" si="21"/>
        <v>0</v>
      </c>
      <c r="BN12" s="8">
        <f t="shared" si="21"/>
        <v>0</v>
      </c>
      <c r="BO12" s="8">
        <f t="shared" si="21"/>
        <v>0</v>
      </c>
      <c r="BP12" s="8">
        <f t="shared" si="21"/>
        <v>0</v>
      </c>
      <c r="BQ12" s="8">
        <f t="shared" si="21"/>
        <v>0</v>
      </c>
      <c r="BR12" s="8">
        <f t="shared" ref="BR12:CW12" si="22">+SUM(BR17:BR91)*$B$6</f>
        <v>0</v>
      </c>
      <c r="BS12" s="8">
        <f t="shared" si="22"/>
        <v>0</v>
      </c>
      <c r="BT12" s="8">
        <f t="shared" si="22"/>
        <v>0</v>
      </c>
      <c r="BU12" s="8">
        <f t="shared" si="22"/>
        <v>0</v>
      </c>
      <c r="BV12" s="8">
        <f t="shared" si="22"/>
        <v>0</v>
      </c>
      <c r="BW12" s="8">
        <f t="shared" si="22"/>
        <v>0</v>
      </c>
      <c r="BX12" s="8">
        <f t="shared" si="22"/>
        <v>0</v>
      </c>
      <c r="BY12" s="8">
        <f t="shared" si="22"/>
        <v>0</v>
      </c>
      <c r="BZ12" s="8">
        <f t="shared" si="22"/>
        <v>0</v>
      </c>
      <c r="CA12" s="8">
        <f t="shared" si="22"/>
        <v>0</v>
      </c>
      <c r="CB12" s="8">
        <f t="shared" si="22"/>
        <v>0</v>
      </c>
      <c r="CC12" s="8">
        <f t="shared" si="22"/>
        <v>0</v>
      </c>
      <c r="CD12" s="8">
        <f t="shared" si="22"/>
        <v>0</v>
      </c>
      <c r="CE12" s="8">
        <f t="shared" si="22"/>
        <v>0</v>
      </c>
      <c r="CF12" s="8">
        <f t="shared" si="22"/>
        <v>0</v>
      </c>
      <c r="CG12" s="8">
        <f t="shared" si="22"/>
        <v>0</v>
      </c>
      <c r="CH12" s="8">
        <f t="shared" si="22"/>
        <v>0</v>
      </c>
      <c r="CI12" s="8">
        <f t="shared" si="22"/>
        <v>0</v>
      </c>
      <c r="CJ12" s="8">
        <f t="shared" si="22"/>
        <v>0</v>
      </c>
      <c r="CK12" s="8">
        <f t="shared" si="22"/>
        <v>0</v>
      </c>
      <c r="CL12" s="8">
        <f t="shared" si="22"/>
        <v>0</v>
      </c>
      <c r="CM12" s="8">
        <f t="shared" si="22"/>
        <v>0</v>
      </c>
      <c r="CN12" s="8">
        <f t="shared" si="22"/>
        <v>0</v>
      </c>
      <c r="CO12" s="8">
        <f t="shared" si="22"/>
        <v>0</v>
      </c>
      <c r="CP12" s="8">
        <f t="shared" si="22"/>
        <v>0</v>
      </c>
      <c r="CQ12" s="8">
        <f t="shared" si="22"/>
        <v>0</v>
      </c>
      <c r="CR12" s="8">
        <f t="shared" si="22"/>
        <v>0</v>
      </c>
      <c r="CS12" s="8">
        <f t="shared" si="22"/>
        <v>0</v>
      </c>
      <c r="CT12" s="8">
        <f t="shared" si="22"/>
        <v>0</v>
      </c>
      <c r="CU12" s="8">
        <f t="shared" si="22"/>
        <v>0</v>
      </c>
      <c r="CV12" s="8">
        <f t="shared" si="22"/>
        <v>0</v>
      </c>
      <c r="CW12" s="8">
        <f t="shared" si="22"/>
        <v>0</v>
      </c>
      <c r="CX12" s="8">
        <f t="shared" ref="CX12:DV12" si="23">+SUM(CX17:CX91)*$B$6</f>
        <v>0</v>
      </c>
      <c r="CY12" s="8">
        <f t="shared" si="23"/>
        <v>0</v>
      </c>
      <c r="CZ12" s="8">
        <f t="shared" si="23"/>
        <v>0</v>
      </c>
      <c r="DA12" s="8">
        <f t="shared" si="23"/>
        <v>0</v>
      </c>
      <c r="DB12" s="8">
        <f t="shared" si="23"/>
        <v>0</v>
      </c>
      <c r="DC12" s="8">
        <f t="shared" si="23"/>
        <v>0</v>
      </c>
      <c r="DD12" s="8">
        <f t="shared" si="23"/>
        <v>0</v>
      </c>
      <c r="DE12" s="8">
        <f t="shared" si="23"/>
        <v>0</v>
      </c>
      <c r="DF12" s="8">
        <f t="shared" si="23"/>
        <v>0</v>
      </c>
      <c r="DG12" s="8">
        <f t="shared" si="23"/>
        <v>0</v>
      </c>
      <c r="DH12" s="8">
        <f t="shared" si="23"/>
        <v>0</v>
      </c>
      <c r="DI12" s="8">
        <f t="shared" si="23"/>
        <v>0</v>
      </c>
      <c r="DJ12" s="8">
        <f t="shared" si="23"/>
        <v>0</v>
      </c>
      <c r="DK12" s="8">
        <f t="shared" si="23"/>
        <v>0</v>
      </c>
      <c r="DL12" s="8">
        <f t="shared" si="23"/>
        <v>0</v>
      </c>
      <c r="DM12" s="8">
        <f t="shared" si="23"/>
        <v>0</v>
      </c>
      <c r="DN12" s="8">
        <f t="shared" si="23"/>
        <v>0</v>
      </c>
      <c r="DO12" s="8">
        <f t="shared" si="23"/>
        <v>0</v>
      </c>
      <c r="DP12" s="8">
        <f t="shared" si="23"/>
        <v>0</v>
      </c>
      <c r="DQ12" s="8">
        <f t="shared" si="23"/>
        <v>0</v>
      </c>
      <c r="DR12" s="8">
        <f t="shared" si="23"/>
        <v>0</v>
      </c>
      <c r="DS12" s="8">
        <f t="shared" si="23"/>
        <v>0</v>
      </c>
      <c r="DT12" s="8">
        <f t="shared" si="23"/>
        <v>0</v>
      </c>
      <c r="DU12" s="8">
        <f t="shared" si="23"/>
        <v>0</v>
      </c>
      <c r="DV12" s="8">
        <f t="shared" si="23"/>
        <v>0</v>
      </c>
    </row>
    <row r="13" spans="1:127" x14ac:dyDescent="0.25">
      <c r="A13" s="119" t="s">
        <v>268</v>
      </c>
      <c r="B13" s="120">
        <f>IFERROR(IF(TipoRed="Fija",ValocidadPromedioDL/(RelacionContencion*Velocidad),(ValocidadPromedioDL*RelacionContencion*3600*24*30)/(8000*Velocidad)),0)</f>
        <v>2843.1</v>
      </c>
      <c r="E13" s="13">
        <f t="shared" ref="E13:AW13" si="24">+DAY(F16)</f>
        <v>1</v>
      </c>
      <c r="F13" s="13">
        <f t="shared" si="24"/>
        <v>1</v>
      </c>
      <c r="G13" s="13">
        <f t="shared" si="24"/>
        <v>2</v>
      </c>
      <c r="H13" s="13">
        <f t="shared" si="24"/>
        <v>2</v>
      </c>
      <c r="I13" s="13">
        <f t="shared" si="24"/>
        <v>2</v>
      </c>
      <c r="J13" s="13">
        <f t="shared" si="24"/>
        <v>3</v>
      </c>
      <c r="K13" s="13">
        <f t="shared" si="24"/>
        <v>3</v>
      </c>
      <c r="L13" s="13">
        <f t="shared" si="24"/>
        <v>4</v>
      </c>
      <c r="M13" s="13">
        <f t="shared" si="24"/>
        <v>4</v>
      </c>
      <c r="N13" s="13">
        <f t="shared" si="24"/>
        <v>4</v>
      </c>
      <c r="O13" s="13">
        <f t="shared" si="24"/>
        <v>7</v>
      </c>
      <c r="P13" s="13">
        <f t="shared" si="24"/>
        <v>7</v>
      </c>
      <c r="Q13" s="13">
        <f t="shared" si="24"/>
        <v>8</v>
      </c>
      <c r="R13" s="13">
        <f t="shared" si="24"/>
        <v>8</v>
      </c>
      <c r="S13" s="13">
        <f t="shared" si="24"/>
        <v>9</v>
      </c>
      <c r="T13" s="13">
        <f t="shared" si="24"/>
        <v>9</v>
      </c>
      <c r="U13" s="13">
        <f t="shared" si="24"/>
        <v>9</v>
      </c>
      <c r="V13" s="13">
        <f t="shared" si="24"/>
        <v>10</v>
      </c>
      <c r="W13" s="13">
        <f t="shared" si="24"/>
        <v>10</v>
      </c>
      <c r="X13" s="13">
        <f t="shared" si="24"/>
        <v>11</v>
      </c>
      <c r="Y13" s="13">
        <f t="shared" si="24"/>
        <v>11</v>
      </c>
      <c r="Z13" s="13">
        <f t="shared" si="24"/>
        <v>11</v>
      </c>
      <c r="AA13" s="13">
        <f t="shared" si="24"/>
        <v>14</v>
      </c>
      <c r="AB13" s="13">
        <f t="shared" si="24"/>
        <v>14</v>
      </c>
      <c r="AC13" s="13">
        <f t="shared" si="24"/>
        <v>15</v>
      </c>
      <c r="AD13" s="13">
        <f t="shared" si="24"/>
        <v>15</v>
      </c>
      <c r="AE13" s="13">
        <f t="shared" si="24"/>
        <v>16</v>
      </c>
      <c r="AF13" s="13">
        <f t="shared" si="24"/>
        <v>16</v>
      </c>
      <c r="AG13" s="13">
        <f t="shared" si="24"/>
        <v>16</v>
      </c>
      <c r="AH13" s="13">
        <f t="shared" si="24"/>
        <v>17</v>
      </c>
      <c r="AI13" s="13">
        <f t="shared" si="24"/>
        <v>17</v>
      </c>
      <c r="AJ13" s="13">
        <f t="shared" si="24"/>
        <v>18</v>
      </c>
      <c r="AK13" s="13">
        <f t="shared" si="24"/>
        <v>18</v>
      </c>
      <c r="AL13" s="13">
        <f t="shared" si="24"/>
        <v>18</v>
      </c>
      <c r="AM13" s="13">
        <f t="shared" si="24"/>
        <v>21</v>
      </c>
      <c r="AN13" s="13">
        <f t="shared" si="24"/>
        <v>21</v>
      </c>
      <c r="AO13" s="13">
        <f t="shared" si="24"/>
        <v>22</v>
      </c>
      <c r="AP13" s="13">
        <f t="shared" si="24"/>
        <v>22</v>
      </c>
      <c r="AQ13" s="13">
        <f t="shared" si="24"/>
        <v>23</v>
      </c>
      <c r="AR13" s="13">
        <f t="shared" si="24"/>
        <v>23</v>
      </c>
      <c r="AS13" s="13">
        <f t="shared" si="24"/>
        <v>23</v>
      </c>
      <c r="AT13" s="13">
        <f t="shared" si="24"/>
        <v>24</v>
      </c>
      <c r="AU13" s="13">
        <f t="shared" si="24"/>
        <v>24</v>
      </c>
      <c r="AV13" s="13">
        <f t="shared" si="24"/>
        <v>25</v>
      </c>
      <c r="AW13" s="13">
        <f t="shared" si="24"/>
        <v>3</v>
      </c>
      <c r="AX13" s="13">
        <f>+DAY(AY16)</f>
        <v>3</v>
      </c>
      <c r="AY13" s="13">
        <f>+DAY(AZ16)</f>
        <v>5</v>
      </c>
      <c r="AZ13" s="13">
        <f>+DAY(BA16)</f>
        <v>5</v>
      </c>
      <c r="BA13" s="13">
        <f t="shared" ref="BA13:BM13" si="25">+DAY(BB16)</f>
        <v>6</v>
      </c>
      <c r="BB13" s="13">
        <f t="shared" si="25"/>
        <v>6</v>
      </c>
      <c r="BC13" s="13">
        <f t="shared" si="25"/>
        <v>7</v>
      </c>
      <c r="BD13" s="13">
        <f t="shared" si="25"/>
        <v>7</v>
      </c>
      <c r="BE13" s="13">
        <f t="shared" si="25"/>
        <v>7</v>
      </c>
      <c r="BF13" s="13">
        <f t="shared" si="25"/>
        <v>8</v>
      </c>
      <c r="BG13" s="13">
        <f t="shared" si="25"/>
        <v>8</v>
      </c>
      <c r="BH13" s="13">
        <f t="shared" si="25"/>
        <v>9</v>
      </c>
      <c r="BI13" s="13">
        <f t="shared" si="25"/>
        <v>9</v>
      </c>
      <c r="BJ13" s="13">
        <f t="shared" si="25"/>
        <v>9</v>
      </c>
      <c r="BK13" s="13">
        <f t="shared" si="25"/>
        <v>12</v>
      </c>
      <c r="BL13" s="13">
        <f t="shared" si="25"/>
        <v>12</v>
      </c>
      <c r="BM13" s="13">
        <f t="shared" si="25"/>
        <v>13</v>
      </c>
      <c r="BN13" s="13">
        <f t="shared" ref="BN13:CK13" si="26">+DAY(BO16)</f>
        <v>13</v>
      </c>
      <c r="BO13" s="13">
        <f t="shared" si="26"/>
        <v>14</v>
      </c>
      <c r="BP13" s="13">
        <f t="shared" si="26"/>
        <v>14</v>
      </c>
      <c r="BQ13" s="13">
        <f t="shared" si="26"/>
        <v>14</v>
      </c>
      <c r="BR13" s="13">
        <f t="shared" si="26"/>
        <v>15</v>
      </c>
      <c r="BS13" s="13">
        <f t="shared" si="26"/>
        <v>15</v>
      </c>
      <c r="BT13" s="13">
        <f t="shared" si="26"/>
        <v>16</v>
      </c>
      <c r="BU13" s="13">
        <f t="shared" si="26"/>
        <v>16</v>
      </c>
      <c r="BV13" s="13">
        <f t="shared" si="26"/>
        <v>16</v>
      </c>
      <c r="BW13" s="13">
        <f t="shared" si="26"/>
        <v>19</v>
      </c>
      <c r="BX13" s="13">
        <f t="shared" si="26"/>
        <v>19</v>
      </c>
      <c r="BY13" s="13">
        <f t="shared" si="26"/>
        <v>20</v>
      </c>
      <c r="BZ13" s="13">
        <f t="shared" si="26"/>
        <v>20</v>
      </c>
      <c r="CA13" s="13">
        <f t="shared" si="26"/>
        <v>21</v>
      </c>
      <c r="CB13" s="13">
        <f t="shared" si="26"/>
        <v>21</v>
      </c>
      <c r="CC13" s="13">
        <f t="shared" si="26"/>
        <v>21</v>
      </c>
      <c r="CD13" s="13">
        <f t="shared" si="26"/>
        <v>22</v>
      </c>
      <c r="CE13" s="13">
        <f t="shared" si="26"/>
        <v>22</v>
      </c>
      <c r="CF13" s="13">
        <f t="shared" si="26"/>
        <v>23</v>
      </c>
      <c r="CG13" s="13">
        <f t="shared" si="26"/>
        <v>23</v>
      </c>
      <c r="CH13" s="13">
        <f t="shared" si="26"/>
        <v>23</v>
      </c>
      <c r="CI13" s="13">
        <f t="shared" si="26"/>
        <v>26</v>
      </c>
      <c r="CJ13" s="13">
        <f t="shared" si="26"/>
        <v>26</v>
      </c>
      <c r="CK13" s="13">
        <f t="shared" si="26"/>
        <v>27</v>
      </c>
      <c r="CL13" s="13">
        <f t="shared" ref="CL13:DU13" si="27">+DAY(CM16)</f>
        <v>27</v>
      </c>
      <c r="CM13" s="13">
        <f t="shared" si="27"/>
        <v>28</v>
      </c>
      <c r="CN13" s="13">
        <f t="shared" si="27"/>
        <v>28</v>
      </c>
      <c r="CO13" s="13">
        <f t="shared" si="27"/>
        <v>28</v>
      </c>
      <c r="CP13" s="13">
        <f t="shared" si="27"/>
        <v>29</v>
      </c>
      <c r="CQ13" s="13">
        <f t="shared" si="27"/>
        <v>29</v>
      </c>
      <c r="CR13" s="13">
        <f t="shared" si="27"/>
        <v>30</v>
      </c>
      <c r="CS13" s="13">
        <f t="shared" si="27"/>
        <v>8</v>
      </c>
      <c r="CT13" s="13">
        <f t="shared" si="27"/>
        <v>8</v>
      </c>
      <c r="CU13" s="13">
        <f t="shared" si="27"/>
        <v>10</v>
      </c>
      <c r="CV13" s="13">
        <f t="shared" si="27"/>
        <v>10</v>
      </c>
      <c r="CW13" s="13">
        <f t="shared" si="27"/>
        <v>11</v>
      </c>
      <c r="CX13" s="13">
        <f t="shared" si="27"/>
        <v>11</v>
      </c>
      <c r="CY13" s="13">
        <f t="shared" si="27"/>
        <v>12</v>
      </c>
      <c r="CZ13" s="13">
        <f t="shared" si="27"/>
        <v>12</v>
      </c>
      <c r="DA13" s="13">
        <f t="shared" si="27"/>
        <v>12</v>
      </c>
      <c r="DB13" s="13">
        <f t="shared" si="27"/>
        <v>13</v>
      </c>
      <c r="DC13" s="13">
        <f t="shared" si="27"/>
        <v>13</v>
      </c>
      <c r="DD13" s="13">
        <f t="shared" si="27"/>
        <v>14</v>
      </c>
      <c r="DE13" s="13">
        <f t="shared" si="27"/>
        <v>14</v>
      </c>
      <c r="DF13" s="13">
        <f t="shared" si="27"/>
        <v>14</v>
      </c>
      <c r="DG13" s="13">
        <f t="shared" si="27"/>
        <v>17</v>
      </c>
      <c r="DH13" s="13">
        <f t="shared" si="27"/>
        <v>17</v>
      </c>
      <c r="DI13" s="13">
        <f t="shared" si="27"/>
        <v>18</v>
      </c>
      <c r="DJ13" s="13">
        <f t="shared" si="27"/>
        <v>18</v>
      </c>
      <c r="DK13" s="13">
        <f t="shared" si="27"/>
        <v>19</v>
      </c>
      <c r="DL13" s="13">
        <f t="shared" si="27"/>
        <v>19</v>
      </c>
      <c r="DM13" s="13">
        <f t="shared" si="27"/>
        <v>19</v>
      </c>
      <c r="DN13" s="13">
        <f t="shared" si="27"/>
        <v>20</v>
      </c>
      <c r="DO13" s="13">
        <f t="shared" si="27"/>
        <v>20</v>
      </c>
      <c r="DP13" s="13">
        <f t="shared" si="27"/>
        <v>21</v>
      </c>
      <c r="DQ13" s="13">
        <f t="shared" si="27"/>
        <v>21</v>
      </c>
      <c r="DR13" s="13">
        <f t="shared" si="27"/>
        <v>21</v>
      </c>
      <c r="DS13" s="13">
        <f t="shared" si="27"/>
        <v>24</v>
      </c>
      <c r="DT13" s="13">
        <f t="shared" si="27"/>
        <v>24</v>
      </c>
      <c r="DU13" s="13">
        <f t="shared" si="27"/>
        <v>25</v>
      </c>
    </row>
    <row r="14" spans="1:127" x14ac:dyDescent="0.25">
      <c r="A14" s="11" t="s">
        <v>298</v>
      </c>
      <c r="B14" s="105">
        <f>+SUM(B20:B26,B36:B40,B44:B46,B50:B52,B59:B61,B66:B74,B78:B86,B90:B91)</f>
        <v>596915003.41457367</v>
      </c>
      <c r="E14" s="13">
        <v>1</v>
      </c>
      <c r="F14" s="13">
        <v>2</v>
      </c>
      <c r="G14" s="13">
        <v>3</v>
      </c>
      <c r="H14" s="13">
        <v>4</v>
      </c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13">
        <v>12</v>
      </c>
      <c r="Q14" s="13">
        <v>13</v>
      </c>
      <c r="R14" s="13">
        <v>14</v>
      </c>
      <c r="S14" s="13">
        <v>15</v>
      </c>
      <c r="T14" s="13">
        <v>16</v>
      </c>
      <c r="U14" s="13">
        <v>17</v>
      </c>
      <c r="V14" s="13">
        <v>18</v>
      </c>
      <c r="W14" s="13">
        <v>19</v>
      </c>
      <c r="X14" s="13">
        <v>20</v>
      </c>
      <c r="Y14" s="13">
        <v>21</v>
      </c>
      <c r="Z14" s="13">
        <v>22</v>
      </c>
      <c r="AA14" s="13">
        <v>23</v>
      </c>
      <c r="AB14" s="13">
        <v>24</v>
      </c>
      <c r="AC14" s="13">
        <v>25</v>
      </c>
      <c r="AD14" s="13">
        <v>26</v>
      </c>
      <c r="AE14" s="13">
        <v>27</v>
      </c>
      <c r="AF14" s="13">
        <v>28</v>
      </c>
      <c r="AG14" s="13">
        <v>29</v>
      </c>
      <c r="AH14" s="13">
        <v>30</v>
      </c>
      <c r="AI14" s="13">
        <v>31</v>
      </c>
      <c r="AJ14" s="13">
        <v>32</v>
      </c>
      <c r="AK14" s="13">
        <v>33</v>
      </c>
      <c r="AL14" s="13">
        <v>34</v>
      </c>
      <c r="AM14" s="13">
        <v>35</v>
      </c>
      <c r="AN14" s="13">
        <v>36</v>
      </c>
      <c r="AO14" s="13">
        <v>37</v>
      </c>
      <c r="AP14" s="13">
        <v>38</v>
      </c>
      <c r="AQ14" s="13">
        <v>39</v>
      </c>
      <c r="AR14" s="13">
        <v>40</v>
      </c>
      <c r="AS14" s="13">
        <v>41</v>
      </c>
      <c r="AT14" s="13">
        <v>42</v>
      </c>
      <c r="AU14" s="13">
        <v>43</v>
      </c>
      <c r="AV14" s="13">
        <v>44</v>
      </c>
      <c r="AW14" s="13">
        <v>45</v>
      </c>
      <c r="AX14" s="13">
        <v>46</v>
      </c>
      <c r="AY14" s="13">
        <v>47</v>
      </c>
      <c r="AZ14" s="13">
        <v>48</v>
      </c>
      <c r="BA14" s="13">
        <v>49</v>
      </c>
      <c r="BB14" s="13">
        <v>50</v>
      </c>
      <c r="BC14" s="13">
        <v>51</v>
      </c>
      <c r="BD14" s="13">
        <v>52</v>
      </c>
      <c r="BE14" s="13">
        <v>53</v>
      </c>
      <c r="BF14" s="13">
        <v>54</v>
      </c>
      <c r="BG14" s="13">
        <v>55</v>
      </c>
      <c r="BH14" s="13">
        <v>56</v>
      </c>
      <c r="BI14" s="13">
        <v>57</v>
      </c>
      <c r="BJ14" s="13">
        <v>58</v>
      </c>
      <c r="BK14" s="13">
        <v>59</v>
      </c>
      <c r="BL14" s="13">
        <v>60</v>
      </c>
      <c r="BM14" s="13">
        <v>61</v>
      </c>
      <c r="BN14" s="13">
        <v>62</v>
      </c>
      <c r="BO14" s="13">
        <v>63</v>
      </c>
      <c r="BP14" s="13">
        <v>64</v>
      </c>
      <c r="BQ14" s="13">
        <v>65</v>
      </c>
      <c r="BR14" s="13">
        <v>66</v>
      </c>
      <c r="BS14" s="13">
        <v>67</v>
      </c>
      <c r="BT14" s="13">
        <v>68</v>
      </c>
      <c r="BU14" s="13">
        <v>69</v>
      </c>
      <c r="BV14" s="13">
        <v>70</v>
      </c>
      <c r="BW14" s="13">
        <v>71</v>
      </c>
      <c r="BX14" s="13">
        <v>72</v>
      </c>
      <c r="BY14" s="13">
        <v>73</v>
      </c>
      <c r="BZ14" s="13">
        <v>74</v>
      </c>
      <c r="CA14" s="13">
        <v>75</v>
      </c>
      <c r="CB14" s="13">
        <v>76</v>
      </c>
      <c r="CC14" s="13">
        <v>77</v>
      </c>
      <c r="CD14" s="13">
        <v>78</v>
      </c>
      <c r="CE14" s="13">
        <v>79</v>
      </c>
      <c r="CF14" s="13">
        <v>80</v>
      </c>
      <c r="CG14" s="13">
        <v>81</v>
      </c>
      <c r="CH14" s="13">
        <v>82</v>
      </c>
      <c r="CI14" s="13">
        <v>83</v>
      </c>
      <c r="CJ14" s="13">
        <v>84</v>
      </c>
      <c r="CK14" s="13">
        <v>85</v>
      </c>
      <c r="CL14" s="13">
        <v>86</v>
      </c>
      <c r="CM14" s="13">
        <v>87</v>
      </c>
      <c r="CN14" s="13">
        <v>88</v>
      </c>
      <c r="CO14" s="13">
        <v>89</v>
      </c>
      <c r="CP14" s="13">
        <v>90</v>
      </c>
      <c r="CQ14" s="13">
        <v>91</v>
      </c>
      <c r="CR14" s="13">
        <v>92</v>
      </c>
      <c r="CS14" s="13">
        <v>93</v>
      </c>
      <c r="CT14" s="13">
        <v>94</v>
      </c>
      <c r="CU14" s="13">
        <v>95</v>
      </c>
      <c r="CV14" s="13">
        <v>96</v>
      </c>
      <c r="CW14" s="13">
        <v>97</v>
      </c>
      <c r="CX14" s="13">
        <v>98</v>
      </c>
      <c r="CY14" s="13">
        <v>99</v>
      </c>
      <c r="CZ14" s="13">
        <v>100</v>
      </c>
      <c r="DA14" s="13">
        <v>101</v>
      </c>
      <c r="DB14" s="13">
        <v>102</v>
      </c>
      <c r="DC14" s="13">
        <v>103</v>
      </c>
      <c r="DD14" s="13">
        <v>104</v>
      </c>
      <c r="DE14" s="13">
        <v>105</v>
      </c>
      <c r="DF14" s="13">
        <v>106</v>
      </c>
      <c r="DG14" s="13">
        <v>107</v>
      </c>
      <c r="DH14" s="13">
        <v>108</v>
      </c>
      <c r="DI14" s="13">
        <v>109</v>
      </c>
      <c r="DJ14" s="13">
        <v>110</v>
      </c>
      <c r="DK14" s="13">
        <v>111</v>
      </c>
      <c r="DL14" s="13">
        <v>112</v>
      </c>
      <c r="DM14" s="13">
        <v>113</v>
      </c>
      <c r="DN14" s="13">
        <v>114</v>
      </c>
      <c r="DO14" s="13">
        <v>115</v>
      </c>
      <c r="DP14" s="13">
        <v>116</v>
      </c>
      <c r="DQ14" s="13">
        <v>117</v>
      </c>
      <c r="DR14" s="13">
        <v>118</v>
      </c>
      <c r="DS14" s="13">
        <v>119</v>
      </c>
      <c r="DT14" s="13">
        <v>120</v>
      </c>
      <c r="DU14" s="13">
        <v>121</v>
      </c>
    </row>
    <row r="15" spans="1:127" ht="16.5" thickBot="1" x14ac:dyDescent="0.3">
      <c r="A15" s="11" t="s">
        <v>321</v>
      </c>
      <c r="B15" s="105">
        <f>B5/SubscriptoresSugeridos</f>
        <v>598535.9824854082</v>
      </c>
      <c r="C15" s="2"/>
      <c r="F15" s="10">
        <v>0</v>
      </c>
      <c r="G15" s="10">
        <v>1</v>
      </c>
      <c r="H15" s="10">
        <v>2</v>
      </c>
      <c r="I15" s="10">
        <v>3</v>
      </c>
      <c r="J15" s="10">
        <v>4</v>
      </c>
      <c r="K15" s="10">
        <v>5</v>
      </c>
      <c r="L15" s="10">
        <v>6</v>
      </c>
      <c r="M15" s="10">
        <v>7</v>
      </c>
      <c r="N15" s="10">
        <v>8</v>
      </c>
      <c r="O15" s="10">
        <v>9</v>
      </c>
      <c r="P15" s="10">
        <v>10</v>
      </c>
      <c r="Q15" s="10">
        <v>11</v>
      </c>
      <c r="R15" s="10">
        <v>12</v>
      </c>
      <c r="S15" s="10">
        <v>13</v>
      </c>
      <c r="T15" s="10">
        <v>14</v>
      </c>
      <c r="U15" s="10">
        <v>15</v>
      </c>
      <c r="V15" s="10">
        <v>16</v>
      </c>
      <c r="W15" s="10">
        <v>17</v>
      </c>
      <c r="X15" s="10">
        <v>18</v>
      </c>
      <c r="Y15" s="10">
        <v>19</v>
      </c>
      <c r="Z15" s="10">
        <v>20</v>
      </c>
      <c r="AA15" s="10">
        <v>21</v>
      </c>
      <c r="AB15" s="10">
        <v>22</v>
      </c>
      <c r="AC15" s="10">
        <v>23</v>
      </c>
      <c r="AD15" s="10">
        <v>24</v>
      </c>
      <c r="AE15" s="10">
        <v>25</v>
      </c>
      <c r="AF15" s="10">
        <v>26</v>
      </c>
      <c r="AG15" s="10">
        <v>27</v>
      </c>
      <c r="AH15" s="10">
        <v>28</v>
      </c>
      <c r="AI15" s="10">
        <v>29</v>
      </c>
      <c r="AJ15" s="10">
        <v>30</v>
      </c>
      <c r="AK15" s="10">
        <v>31</v>
      </c>
      <c r="AL15" s="10">
        <v>32</v>
      </c>
      <c r="AM15" s="10">
        <v>33</v>
      </c>
      <c r="AN15" s="10">
        <v>34</v>
      </c>
      <c r="AO15" s="10">
        <v>35</v>
      </c>
      <c r="AP15" s="10">
        <v>36</v>
      </c>
      <c r="AQ15" s="10">
        <v>37</v>
      </c>
      <c r="AR15" s="10">
        <v>38</v>
      </c>
      <c r="AS15" s="10">
        <v>39</v>
      </c>
      <c r="AT15" s="10">
        <v>40</v>
      </c>
      <c r="AU15" s="10">
        <v>41</v>
      </c>
      <c r="AV15" s="10">
        <v>42</v>
      </c>
      <c r="AW15" s="10">
        <v>43</v>
      </c>
      <c r="AX15" s="10">
        <v>44</v>
      </c>
      <c r="AY15" s="10">
        <v>45</v>
      </c>
      <c r="AZ15" s="10">
        <v>46</v>
      </c>
      <c r="BA15" s="10">
        <v>47</v>
      </c>
      <c r="BB15" s="10">
        <v>48</v>
      </c>
      <c r="BC15" s="10">
        <v>49</v>
      </c>
      <c r="BD15" s="10">
        <v>50</v>
      </c>
      <c r="BE15" s="10">
        <v>51</v>
      </c>
      <c r="BF15" s="10">
        <v>52</v>
      </c>
      <c r="BG15" s="10">
        <v>53</v>
      </c>
      <c r="BH15" s="10">
        <v>54</v>
      </c>
      <c r="BI15" s="10">
        <v>55</v>
      </c>
      <c r="BJ15" s="10">
        <v>56</v>
      </c>
      <c r="BK15" s="10">
        <v>57</v>
      </c>
      <c r="BL15" s="10">
        <v>58</v>
      </c>
      <c r="BM15" s="10">
        <v>59</v>
      </c>
      <c r="BN15" s="10">
        <v>60</v>
      </c>
      <c r="BO15" s="10">
        <v>61</v>
      </c>
      <c r="BP15" s="10">
        <v>62</v>
      </c>
      <c r="BQ15" s="10">
        <v>63</v>
      </c>
      <c r="BR15" s="10">
        <v>64</v>
      </c>
      <c r="BS15" s="10">
        <v>65</v>
      </c>
      <c r="BT15" s="10">
        <v>66</v>
      </c>
      <c r="BU15" s="10">
        <v>67</v>
      </c>
      <c r="BV15" s="10">
        <v>68</v>
      </c>
      <c r="BW15" s="10">
        <v>69</v>
      </c>
      <c r="BX15" s="10">
        <v>70</v>
      </c>
      <c r="BY15" s="10">
        <v>71</v>
      </c>
      <c r="BZ15" s="10">
        <v>72</v>
      </c>
      <c r="CA15" s="10">
        <v>73</v>
      </c>
      <c r="CB15" s="10">
        <v>74</v>
      </c>
      <c r="CC15" s="10">
        <v>75</v>
      </c>
      <c r="CD15" s="10">
        <v>76</v>
      </c>
      <c r="CE15" s="10">
        <v>77</v>
      </c>
      <c r="CF15" s="10">
        <v>78</v>
      </c>
      <c r="CG15" s="10">
        <v>79</v>
      </c>
      <c r="CH15" s="10">
        <v>80</v>
      </c>
      <c r="CI15" s="10">
        <v>81</v>
      </c>
      <c r="CJ15" s="10">
        <v>82</v>
      </c>
      <c r="CK15" s="10">
        <v>83</v>
      </c>
      <c r="CL15" s="10">
        <v>84</v>
      </c>
      <c r="CM15" s="10">
        <v>85</v>
      </c>
      <c r="CN15" s="10">
        <v>86</v>
      </c>
      <c r="CO15" s="10">
        <v>87</v>
      </c>
      <c r="CP15" s="10">
        <v>88</v>
      </c>
      <c r="CQ15" s="10">
        <v>89</v>
      </c>
      <c r="CR15" s="10">
        <v>90</v>
      </c>
      <c r="CS15" s="10">
        <v>91</v>
      </c>
      <c r="CT15" s="10">
        <v>92</v>
      </c>
      <c r="CU15" s="10">
        <v>93</v>
      </c>
      <c r="CV15" s="10">
        <v>94</v>
      </c>
      <c r="CW15" s="10">
        <v>95</v>
      </c>
      <c r="CX15" s="10">
        <v>96</v>
      </c>
      <c r="CY15" s="10">
        <v>97</v>
      </c>
      <c r="CZ15" s="10">
        <v>98</v>
      </c>
      <c r="DA15" s="10">
        <v>99</v>
      </c>
      <c r="DB15" s="10">
        <v>100</v>
      </c>
      <c r="DC15" s="10">
        <v>101</v>
      </c>
      <c r="DD15" s="10">
        <v>102</v>
      </c>
      <c r="DE15" s="10">
        <v>103</v>
      </c>
      <c r="DF15" s="10">
        <v>104</v>
      </c>
      <c r="DG15" s="10">
        <v>105</v>
      </c>
      <c r="DH15" s="10">
        <v>106</v>
      </c>
      <c r="DI15" s="10">
        <v>107</v>
      </c>
      <c r="DJ15" s="10">
        <v>108</v>
      </c>
      <c r="DK15" s="10">
        <v>109</v>
      </c>
      <c r="DL15" s="10">
        <v>110</v>
      </c>
      <c r="DM15" s="10">
        <v>111</v>
      </c>
      <c r="DN15" s="10">
        <v>112</v>
      </c>
      <c r="DO15" s="10">
        <v>113</v>
      </c>
      <c r="DP15" s="10">
        <v>114</v>
      </c>
      <c r="DQ15" s="10">
        <v>115</v>
      </c>
      <c r="DR15" s="10">
        <v>116</v>
      </c>
      <c r="DS15" s="10">
        <v>117</v>
      </c>
      <c r="DT15" s="10">
        <v>118</v>
      </c>
      <c r="DU15" s="10">
        <v>119</v>
      </c>
      <c r="DV15" s="10">
        <v>120</v>
      </c>
    </row>
    <row r="16" spans="1:127" ht="16.5" thickBot="1" x14ac:dyDescent="0.3">
      <c r="A16" s="31" t="s">
        <v>255</v>
      </c>
      <c r="B16" s="31" t="s">
        <v>1</v>
      </c>
      <c r="C16" s="31" t="s">
        <v>7</v>
      </c>
      <c r="D16" s="34" t="s">
        <v>130</v>
      </c>
      <c r="E16" s="19" t="s">
        <v>131</v>
      </c>
      <c r="F16" s="12">
        <f>+DATE(YEAR($B$7),MONTH(B7),1)</f>
        <v>43952</v>
      </c>
      <c r="G16" s="12">
        <f>+IF(AND(MONTH(F16)=12,OR(YEAR(F16)=2023,YEAR(F16)=2027)),F16+Datos!$A$11-22,F16+Datos!$A$11)</f>
        <v>43983</v>
      </c>
      <c r="H16" s="12">
        <f>+IF(AND(MONTH(G16)=12,OR(YEAR(G16)=2023,YEAR(G16)=2027)),G16+Datos!$A$11-22,G16+Datos!$A$11)</f>
        <v>44014</v>
      </c>
      <c r="I16" s="12">
        <f>+IF(AND(MONTH(H16)=12,OR(YEAR(H16)=2023,YEAR(H16)=2027)),H16+Datos!$A$11-22,H16+Datos!$A$11)</f>
        <v>44045</v>
      </c>
      <c r="J16" s="12">
        <f>+IF(AND(MONTH(I16)=12,OR(YEAR(I16)=2023,YEAR(I16)=2027)),I16+Datos!$A$11-22,I16+Datos!$A$11)</f>
        <v>44076</v>
      </c>
      <c r="K16" s="12">
        <f>+IF(AND(MONTH(J16)=12,OR(YEAR(J16)=2023,YEAR(J16)=2027)),J16+Datos!$A$11-22,J16+Datos!$A$11)</f>
        <v>44107</v>
      </c>
      <c r="L16" s="12">
        <f>+IF(AND(MONTH(K16)=12,OR(YEAR(K16)=2023,YEAR(K16)=2027)),K16+Datos!$A$11-22,K16+Datos!$A$11)</f>
        <v>44138</v>
      </c>
      <c r="M16" s="12">
        <f>+IF(AND(MONTH(L16)=12,OR(YEAR(L16)=2023,YEAR(L16)=2027)),L16+Datos!$A$11-22,L16+Datos!$A$11)</f>
        <v>44169</v>
      </c>
      <c r="N16" s="12">
        <f>+IF(AND(MONTH(M16)=12,OR(YEAR(M16)=2023,YEAR(M16)=2027)),M16+Datos!$A$11-22,M16+Datos!$A$11)</f>
        <v>44200</v>
      </c>
      <c r="O16" s="12">
        <f>+IF(AND(MONTH(N16)=12,OR(YEAR(N16)=2023,YEAR(N16)=2027)),N16+Datos!$A$11-22,N16+Datos!$A$11)</f>
        <v>44231</v>
      </c>
      <c r="P16" s="12">
        <f>+IF(AND(MONTH(O16)=12,OR(YEAR(O16)=2023,YEAR(O16)=2027)),O16+Datos!$A$11-22,O16+Datos!$A$11)</f>
        <v>44262</v>
      </c>
      <c r="Q16" s="12">
        <f>+IF(AND(MONTH(P16)=12,OR(YEAR(P16)=2023,YEAR(P16)=2027)),P16+Datos!$A$11-22,P16+Datos!$A$11)</f>
        <v>44293</v>
      </c>
      <c r="R16" s="12">
        <f>+IF(AND(MONTH(Q16)=12,OR(YEAR(Q16)=2023,YEAR(Q16)=2027)),Q16+Datos!$A$11-22,Q16+Datos!$A$11)</f>
        <v>44324</v>
      </c>
      <c r="S16" s="12">
        <f>+IF(AND(MONTH(R16)=12,OR(YEAR(R16)=2023,YEAR(R16)=2027)),R16+Datos!$A$11-22,R16+Datos!$A$11)</f>
        <v>44355</v>
      </c>
      <c r="T16" s="12">
        <f>+IF(AND(MONTH(S16)=12,OR(YEAR(S16)=2023,YEAR(S16)=2027)),S16+Datos!$A$11-22,S16+Datos!$A$11)</f>
        <v>44386</v>
      </c>
      <c r="U16" s="12">
        <f>+IF(AND(MONTH(T16)=12,OR(YEAR(T16)=2023,YEAR(T16)=2027)),T16+Datos!$A$11-22,T16+Datos!$A$11)</f>
        <v>44417</v>
      </c>
      <c r="V16" s="12">
        <f>+IF(AND(MONTH(U16)=12,OR(YEAR(U16)=2023,YEAR(U16)=2027)),U16+Datos!$A$11-22,U16+Datos!$A$11)</f>
        <v>44448</v>
      </c>
      <c r="W16" s="12">
        <f>+IF(AND(MONTH(V16)=12,OR(YEAR(V16)=2023,YEAR(V16)=2027)),V16+Datos!$A$11-22,V16+Datos!$A$11)</f>
        <v>44479</v>
      </c>
      <c r="X16" s="12">
        <f>+IF(AND(MONTH(W16)=12,OR(YEAR(W16)=2023,YEAR(W16)=2027)),W16+Datos!$A$11-22,W16+Datos!$A$11)</f>
        <v>44510</v>
      </c>
      <c r="Y16" s="12">
        <f>+IF(AND(MONTH(X16)=12,OR(YEAR(X16)=2023,YEAR(X16)=2027)),X16+Datos!$A$11-22,X16+Datos!$A$11)</f>
        <v>44541</v>
      </c>
      <c r="Z16" s="12">
        <f>+IF(AND(MONTH(Y16)=12,OR(YEAR(Y16)=2023,YEAR(Y16)=2027)),Y16+Datos!$A$11-22,Y16+Datos!$A$11)</f>
        <v>44572</v>
      </c>
      <c r="AA16" s="12">
        <f>+IF(AND(MONTH(Z16)=12,OR(YEAR(Z16)=2023,YEAR(Z16)=2027)),Z16+Datos!$A$11-22,Z16+Datos!$A$11)</f>
        <v>44603</v>
      </c>
      <c r="AB16" s="12">
        <f>+IF(AND(MONTH(AA16)=12,OR(YEAR(AA16)=2023,YEAR(AA16)=2027)),AA16+Datos!$A$11-22,AA16+Datos!$A$11)</f>
        <v>44634</v>
      </c>
      <c r="AC16" s="12">
        <f>+IF(AND(MONTH(AB16)=12,OR(YEAR(AB16)=2023,YEAR(AB16)=2027)),AB16+Datos!$A$11-22,AB16+Datos!$A$11)</f>
        <v>44665</v>
      </c>
      <c r="AD16" s="12">
        <f>+IF(AND(MONTH(AC16)=12,OR(YEAR(AC16)=2023,YEAR(AC16)=2027)),AC16+Datos!$A$11-22,AC16+Datos!$A$11)</f>
        <v>44696</v>
      </c>
      <c r="AE16" s="12">
        <f>+IF(AND(MONTH(AD16)=12,OR(YEAR(AD16)=2023,YEAR(AD16)=2027)),AD16+Datos!$A$11-22,AD16+Datos!$A$11)</f>
        <v>44727</v>
      </c>
      <c r="AF16" s="12">
        <f>+IF(AND(MONTH(AE16)=12,OR(YEAR(AE16)=2023,YEAR(AE16)=2027)),AE16+Datos!$A$11-22,AE16+Datos!$A$11)</f>
        <v>44758</v>
      </c>
      <c r="AG16" s="12">
        <f>+IF(AND(MONTH(AF16)=12,OR(YEAR(AF16)=2023,YEAR(AF16)=2027)),AF16+Datos!$A$11-22,AF16+Datos!$A$11)</f>
        <v>44789</v>
      </c>
      <c r="AH16" s="12">
        <f>+IF(AND(MONTH(AG16)=12,OR(YEAR(AG16)=2023,YEAR(AG16)=2027)),AG16+Datos!$A$11-22,AG16+Datos!$A$11)</f>
        <v>44820</v>
      </c>
      <c r="AI16" s="12">
        <f>+IF(AND(MONTH(AH16)=12,OR(YEAR(AH16)=2023,YEAR(AH16)=2027)),AH16+Datos!$A$11-22,AH16+Datos!$A$11)</f>
        <v>44851</v>
      </c>
      <c r="AJ16" s="12">
        <f>+IF(AND(MONTH(AI16)=12,OR(YEAR(AI16)=2023,YEAR(AI16)=2027)),AI16+Datos!$A$11-22,AI16+Datos!$A$11)</f>
        <v>44882</v>
      </c>
      <c r="AK16" s="12">
        <f>+IF(AND(MONTH(AJ16)=12,OR(YEAR(AJ16)=2023,YEAR(AJ16)=2027)),AJ16+Datos!$A$11-22,AJ16+Datos!$A$11)</f>
        <v>44913</v>
      </c>
      <c r="AL16" s="12">
        <f>+IF(AND(MONTH(AK16)=12,OR(YEAR(AK16)=2023,YEAR(AK16)=2027)),AK16+Datos!$A$11-22,AK16+Datos!$A$11)</f>
        <v>44944</v>
      </c>
      <c r="AM16" s="12">
        <f>+IF(AND(MONTH(AL16)=12,OR(YEAR(AL16)=2023,YEAR(AL16)=2027)),AL16+Datos!$A$11-22,AL16+Datos!$A$11)</f>
        <v>44975</v>
      </c>
      <c r="AN16" s="12">
        <f>+IF(AND(MONTH(AM16)=12,OR(YEAR(AM16)=2023,YEAR(AM16)=2027)),AM16+Datos!$A$11-22,AM16+Datos!$A$11)</f>
        <v>45006</v>
      </c>
      <c r="AO16" s="12">
        <f>+IF(AND(MONTH(AN16)=12,OR(YEAR(AN16)=2023,YEAR(AN16)=2027)),AN16+Datos!$A$11-22,AN16+Datos!$A$11)</f>
        <v>45037</v>
      </c>
      <c r="AP16" s="12">
        <f>+IF(AND(MONTH(AO16)=12,OR(YEAR(AO16)=2023,YEAR(AO16)=2027)),AO16+Datos!$A$11-22,AO16+Datos!$A$11)</f>
        <v>45068</v>
      </c>
      <c r="AQ16" s="12">
        <f>+IF(AND(MONTH(AP16)=12,OR(YEAR(AP16)=2023,YEAR(AP16)=2027)),AP16+Datos!$A$11-22,AP16+Datos!$A$11)</f>
        <v>45099</v>
      </c>
      <c r="AR16" s="12">
        <f>+IF(AND(MONTH(AQ16)=12,OR(YEAR(AQ16)=2023,YEAR(AQ16)=2027)),AQ16+Datos!$A$11-22,AQ16+Datos!$A$11)</f>
        <v>45130</v>
      </c>
      <c r="AS16" s="12">
        <f>+IF(AND(MONTH(AR16)=12,OR(YEAR(AR16)=2023,YEAR(AR16)=2027)),AR16+Datos!$A$11-22,AR16+Datos!$A$11)</f>
        <v>45161</v>
      </c>
      <c r="AT16" s="12">
        <f>+IF(AND(MONTH(AS16)=12,OR(YEAR(AS16)=2023,YEAR(AS16)=2027)),AS16+Datos!$A$11-22,AS16+Datos!$A$11)</f>
        <v>45192</v>
      </c>
      <c r="AU16" s="12">
        <f>+IF(AND(MONTH(AT16)=12,OR(YEAR(AT16)=2023,YEAR(AT16)=2027)),AT16+Datos!$A$11-22,AT16+Datos!$A$11)</f>
        <v>45223</v>
      </c>
      <c r="AV16" s="12">
        <f>+IF(AND(MONTH(AU16)=12,OR(YEAR(AU16)=2023,YEAR(AU16)=2027)),AU16+Datos!$A$11-22,AU16+Datos!$A$11)</f>
        <v>45254</v>
      </c>
      <c r="AW16" s="12">
        <f>+IF(AND(MONTH(AV16)=12,OR(YEAR(AV16)=2023,YEAR(AV16)=2027)),AV16+Datos!$A$11-22,AV16+Datos!$A$11)</f>
        <v>45285</v>
      </c>
      <c r="AX16" s="12">
        <f>+IF(AND(MONTH(AW16)=12,OR(YEAR(AW16)=2023,YEAR(AW16)=2027)),AW16+Datos!$A$11-22,AW16+Datos!$A$11)</f>
        <v>45294</v>
      </c>
      <c r="AY16" s="12">
        <f>+IF(AND(MONTH(AX16)=12,OR(YEAR(AX16)=2023,YEAR(AX16)=2027)),AX16+Datos!$A$11-22,AX16+Datos!$A$11)</f>
        <v>45325</v>
      </c>
      <c r="AZ16" s="12">
        <f>+IF(AND(MONTH(AY16)=12,OR(YEAR(AY16)=2023,YEAR(AY16)=2027)),AY16+Datos!$A$11-22,AY16+Datos!$A$11)</f>
        <v>45356</v>
      </c>
      <c r="BA16" s="12">
        <f>+IF(AND(MONTH(AZ16)=12,OR(YEAR(AZ16)=2023,YEAR(AZ16)=2027)),AZ16+Datos!$A$11-22,AZ16+Datos!$A$11)</f>
        <v>45387</v>
      </c>
      <c r="BB16" s="12">
        <f>+IF(AND(MONTH(BA16)=12,OR(YEAR(BA16)=2023,YEAR(BA16)=2027)),BA16+Datos!$A$11-22,BA16+Datos!$A$11)</f>
        <v>45418</v>
      </c>
      <c r="BC16" s="12">
        <f>+IF(AND(MONTH(BB16)=12,OR(YEAR(BB16)=2023,YEAR(BB16)=2027)),BB16+Datos!$A$11-22,BB16+Datos!$A$11)</f>
        <v>45449</v>
      </c>
      <c r="BD16" s="12">
        <f>+IF(AND(MONTH(BC16)=12,OR(YEAR(BC16)=2023,YEAR(BC16)=2027)),BC16+Datos!$A$11-22,BC16+Datos!$A$11)</f>
        <v>45480</v>
      </c>
      <c r="BE16" s="12">
        <f>+IF(AND(MONTH(BD16)=12,OR(YEAR(BD16)=2023,YEAR(BD16)=2027)),BD16+Datos!$A$11-22,BD16+Datos!$A$11)</f>
        <v>45511</v>
      </c>
      <c r="BF16" s="12">
        <f>+IF(AND(MONTH(BE16)=12,OR(YEAR(BE16)=2023,YEAR(BE16)=2027)),BE16+Datos!$A$11-22,BE16+Datos!$A$11)</f>
        <v>45542</v>
      </c>
      <c r="BG16" s="12">
        <f>+IF(AND(MONTH(BF16)=12,OR(YEAR(BF16)=2023,YEAR(BF16)=2027)),BF16+Datos!$A$11-22,BF16+Datos!$A$11)</f>
        <v>45573</v>
      </c>
      <c r="BH16" s="12">
        <f>+IF(AND(MONTH(BG16)=12,OR(YEAR(BG16)=2023,YEAR(BG16)=2027)),BG16+Datos!$A$11-22,BG16+Datos!$A$11)</f>
        <v>45604</v>
      </c>
      <c r="BI16" s="12">
        <f>+IF(AND(MONTH(BH16)=12,OR(YEAR(BH16)=2023,YEAR(BH16)=2027)),BH16+Datos!$A$11-22,BH16+Datos!$A$11)</f>
        <v>45635</v>
      </c>
      <c r="BJ16" s="12">
        <f>+IF(AND(MONTH(BI16)=12,OR(YEAR(BI16)=2023,YEAR(BI16)=2027)),BI16+Datos!$A$11-22,BI16+Datos!$A$11)</f>
        <v>45666</v>
      </c>
      <c r="BK16" s="12">
        <f>+IF(AND(MONTH(BJ16)=12,OR(YEAR(BJ16)=2023,YEAR(BJ16)=2027)),BJ16+Datos!$A$11-22,BJ16+Datos!$A$11)</f>
        <v>45697</v>
      </c>
      <c r="BL16" s="12">
        <f>+IF(AND(MONTH(BK16)=12,OR(YEAR(BK16)=2023,YEAR(BK16)=2027)),BK16+Datos!$A$11-22,BK16+Datos!$A$11)</f>
        <v>45728</v>
      </c>
      <c r="BM16" s="12">
        <f>+IF(AND(MONTH(BL16)=12,OR(YEAR(BL16)=2023,YEAR(BL16)=2027)),BL16+Datos!$A$11-22,BL16+Datos!$A$11)</f>
        <v>45759</v>
      </c>
      <c r="BN16" s="12">
        <f>+IF(AND(MONTH(BM16)=12,OR(YEAR(BM16)=2023,YEAR(BM16)=2027)),BM16+Datos!$A$11-22,BM16+Datos!$A$11)</f>
        <v>45790</v>
      </c>
      <c r="BO16" s="12">
        <f>+IF(AND(MONTH(BN16)=12,OR(YEAR(BN16)=2023,YEAR(BN16)=2027)),BN16+Datos!$A$11-22,BN16+Datos!$A$11)</f>
        <v>45821</v>
      </c>
      <c r="BP16" s="12">
        <f>+IF(AND(MONTH(BO16)=12,OR(YEAR(BO16)=2023,YEAR(BO16)=2027)),BO16+Datos!$A$11-22,BO16+Datos!$A$11)</f>
        <v>45852</v>
      </c>
      <c r="BQ16" s="12">
        <f>+IF(AND(MONTH(BP16)=12,OR(YEAR(BP16)=2023,YEAR(BP16)=2027)),BP16+Datos!$A$11-22,BP16+Datos!$A$11)</f>
        <v>45883</v>
      </c>
      <c r="BR16" s="12">
        <f>+IF(AND(MONTH(BQ16)=12,OR(YEAR(BQ16)=2023,YEAR(BQ16)=2027)),BQ16+Datos!$A$11-22,BQ16+Datos!$A$11)</f>
        <v>45914</v>
      </c>
      <c r="BS16" s="12">
        <f>+IF(AND(MONTH(BR16)=12,OR(YEAR(BR16)=2023,YEAR(BR16)=2027)),BR16+Datos!$A$11-22,BR16+Datos!$A$11)</f>
        <v>45945</v>
      </c>
      <c r="BT16" s="12">
        <f>+IF(AND(MONTH(BS16)=12,OR(YEAR(BS16)=2023,YEAR(BS16)=2027)),BS16+Datos!$A$11-22,BS16+Datos!$A$11)</f>
        <v>45976</v>
      </c>
      <c r="BU16" s="12">
        <f>+IF(AND(MONTH(BT16)=12,OR(YEAR(BT16)=2023,YEAR(BT16)=2027)),BT16+Datos!$A$11-22,BT16+Datos!$A$11)</f>
        <v>46007</v>
      </c>
      <c r="BV16" s="12">
        <f>+IF(AND(MONTH(BU16)=12,OR(YEAR(BU16)=2023,YEAR(BU16)=2027)),BU16+Datos!$A$11-22,BU16+Datos!$A$11)</f>
        <v>46038</v>
      </c>
      <c r="BW16" s="12">
        <f>+IF(AND(MONTH(BV16)=12,OR(YEAR(BV16)=2023,YEAR(BV16)=2027)),BV16+Datos!$A$11-22,BV16+Datos!$A$11)</f>
        <v>46069</v>
      </c>
      <c r="BX16" s="12">
        <f>+IF(AND(MONTH(BW16)=12,OR(YEAR(BW16)=2023,YEAR(BW16)=2027)),BW16+Datos!$A$11-22,BW16+Datos!$A$11)</f>
        <v>46100</v>
      </c>
      <c r="BY16" s="12">
        <f>+IF(AND(MONTH(BX16)=12,OR(YEAR(BX16)=2023,YEAR(BX16)=2027)),BX16+Datos!$A$11-22,BX16+Datos!$A$11)</f>
        <v>46131</v>
      </c>
      <c r="BZ16" s="12">
        <f>+IF(AND(MONTH(BY16)=12,OR(YEAR(BY16)=2023,YEAR(BY16)=2027)),BY16+Datos!$A$11-22,BY16+Datos!$A$11)</f>
        <v>46162</v>
      </c>
      <c r="CA16" s="12">
        <f>+IF(AND(MONTH(BZ16)=12,OR(YEAR(BZ16)=2023,YEAR(BZ16)=2027)),BZ16+Datos!$A$11-22,BZ16+Datos!$A$11)</f>
        <v>46193</v>
      </c>
      <c r="CB16" s="12">
        <f>+IF(AND(MONTH(CA16)=12,OR(YEAR(CA16)=2023,YEAR(CA16)=2027)),CA16+Datos!$A$11-22,CA16+Datos!$A$11)</f>
        <v>46224</v>
      </c>
      <c r="CC16" s="12">
        <f>+IF(AND(MONTH(CB16)=12,OR(YEAR(CB16)=2023,YEAR(CB16)=2027)),CB16+Datos!$A$11-22,CB16+Datos!$A$11)</f>
        <v>46255</v>
      </c>
      <c r="CD16" s="12">
        <f>+IF(AND(MONTH(CC16)=12,OR(YEAR(CC16)=2023,YEAR(CC16)=2027)),CC16+Datos!$A$11-22,CC16+Datos!$A$11)</f>
        <v>46286</v>
      </c>
      <c r="CE16" s="12">
        <f>+IF(AND(MONTH(CD16)=12,OR(YEAR(CD16)=2023,YEAR(CD16)=2027)),CD16+Datos!$A$11-22,CD16+Datos!$A$11)</f>
        <v>46317</v>
      </c>
      <c r="CF16" s="12">
        <f>+IF(AND(MONTH(CE16)=12,OR(YEAR(CE16)=2023,YEAR(CE16)=2027)),CE16+Datos!$A$11-22,CE16+Datos!$A$11)</f>
        <v>46348</v>
      </c>
      <c r="CG16" s="12">
        <f>+IF(AND(MONTH(CF16)=12,OR(YEAR(CF16)=2023,YEAR(CF16)=2027)),CF16+Datos!$A$11-22,CF16+Datos!$A$11)</f>
        <v>46379</v>
      </c>
      <c r="CH16" s="12">
        <f>+IF(AND(MONTH(CG16)=12,OR(YEAR(CG16)=2023,YEAR(CG16)=2027)),CG16+Datos!$A$11-22,CG16+Datos!$A$11)</f>
        <v>46410</v>
      </c>
      <c r="CI16" s="12">
        <f>+IF(AND(MONTH(CH16)=12,OR(YEAR(CH16)=2023,YEAR(CH16)=2027)),CH16+Datos!$A$11-22,CH16+Datos!$A$11)</f>
        <v>46441</v>
      </c>
      <c r="CJ16" s="12">
        <f>+IF(AND(MONTH(CI16)=12,OR(YEAR(CI16)=2023,YEAR(CI16)=2027)),CI16+Datos!$A$11-22,CI16+Datos!$A$11)</f>
        <v>46472</v>
      </c>
      <c r="CK16" s="12">
        <f>+IF(AND(MONTH(CJ16)=12,OR(YEAR(CJ16)=2023,YEAR(CJ16)=2027)),CJ16+Datos!$A$11-22,CJ16+Datos!$A$11)</f>
        <v>46503</v>
      </c>
      <c r="CL16" s="12">
        <f>+IF(AND(MONTH(CK16)=12,OR(YEAR(CK16)=2023,YEAR(CK16)=2027)),CK16+Datos!$A$11-22,CK16+Datos!$A$11)</f>
        <v>46534</v>
      </c>
      <c r="CM16" s="12">
        <f>+IF(AND(MONTH(CL16)=12,OR(YEAR(CL16)=2023,YEAR(CL16)=2027)),CL16+Datos!$A$11-22,CL16+Datos!$A$11)</f>
        <v>46565</v>
      </c>
      <c r="CN16" s="12">
        <f>+IF(AND(MONTH(CM16)=12,OR(YEAR(CM16)=2023,YEAR(CM16)=2027)),CM16+Datos!$A$11-22,CM16+Datos!$A$11)</f>
        <v>46596</v>
      </c>
      <c r="CO16" s="12">
        <f>+IF(AND(MONTH(CN16)=12,OR(YEAR(CN16)=2023,YEAR(CN16)=2027)),CN16+Datos!$A$11-22,CN16+Datos!$A$11)</f>
        <v>46627</v>
      </c>
      <c r="CP16" s="12">
        <f>+IF(AND(MONTH(CO16)=12,OR(YEAR(CO16)=2023,YEAR(CO16)=2027)),CO16+Datos!$A$11-22,CO16+Datos!$A$11)</f>
        <v>46658</v>
      </c>
      <c r="CQ16" s="12">
        <f>+IF(AND(MONTH(CP16)=12,OR(YEAR(CP16)=2023,YEAR(CP16)=2027)),CP16+Datos!$A$11-22,CP16+Datos!$A$11)</f>
        <v>46689</v>
      </c>
      <c r="CR16" s="12">
        <f>+IF(AND(MONTH(CQ16)=12,OR(YEAR(CQ16)=2023,YEAR(CQ16)=2027)),CQ16+Datos!$A$11-22,CQ16+Datos!$A$11)</f>
        <v>46720</v>
      </c>
      <c r="CS16" s="12">
        <f>+IF(AND(MONTH(CR16)=12,OR(YEAR(CR16)=2023,YEAR(CR16)=2027)),CR16+Datos!$A$11-22,CR16+Datos!$A$11)</f>
        <v>46751</v>
      </c>
      <c r="CT16" s="12">
        <f>+IF(AND(MONTH(CS16)=12,OR(YEAR(CS16)=2023,YEAR(CS16)=2027)),CS16+Datos!$A$11-22,CS16+Datos!$A$11)</f>
        <v>46760</v>
      </c>
      <c r="CU16" s="12">
        <f>+IF(AND(MONTH(CT16)=12,OR(YEAR(CT16)=2023,YEAR(CT16)=2027)),CT16+Datos!$A$11-22,CT16+Datos!$A$11)</f>
        <v>46791</v>
      </c>
      <c r="CV16" s="12">
        <f>+IF(AND(MONTH(CU16)=12,OR(YEAR(CU16)=2023,YEAR(CU16)=2027)),CU16+Datos!$A$11-22,CU16+Datos!$A$11)</f>
        <v>46822</v>
      </c>
      <c r="CW16" s="12">
        <f>+IF(AND(MONTH(CV16)=12,OR(YEAR(CV16)=2023,YEAR(CV16)=2027)),CV16+Datos!$A$11-22,CV16+Datos!$A$11)</f>
        <v>46853</v>
      </c>
      <c r="CX16" s="12">
        <f>+IF(AND(MONTH(CW16)=12,OR(YEAR(CW16)=2023,YEAR(CW16)=2027)),CW16+Datos!$A$11-22,CW16+Datos!$A$11)</f>
        <v>46884</v>
      </c>
      <c r="CY16" s="12">
        <f>+IF(AND(MONTH(CX16)=12,OR(YEAR(CX16)=2023,YEAR(CX16)=2027)),CX16+Datos!$A$11-22,CX16+Datos!$A$11)</f>
        <v>46915</v>
      </c>
      <c r="CZ16" s="12">
        <f>+IF(AND(MONTH(CY16)=12,OR(YEAR(CY16)=2023,YEAR(CY16)=2027)),CY16+Datos!$A$11-22,CY16+Datos!$A$11)</f>
        <v>46946</v>
      </c>
      <c r="DA16" s="12">
        <f>+IF(AND(MONTH(CZ16)=12,OR(YEAR(CZ16)=2023,YEAR(CZ16)=2027)),CZ16+Datos!$A$11-22,CZ16+Datos!$A$11)</f>
        <v>46977</v>
      </c>
      <c r="DB16" s="12">
        <f>+IF(AND(MONTH(DA16)=12,OR(YEAR(DA16)=2023,YEAR(DA16)=2027)),DA16+Datos!$A$11-22,DA16+Datos!$A$11)</f>
        <v>47008</v>
      </c>
      <c r="DC16" s="12">
        <f>+IF(AND(MONTH(DB16)=12,OR(YEAR(DB16)=2023,YEAR(DB16)=2027)),DB16+Datos!$A$11-22,DB16+Datos!$A$11)</f>
        <v>47039</v>
      </c>
      <c r="DD16" s="12">
        <f>+IF(AND(MONTH(DC16)=12,OR(YEAR(DC16)=2023,YEAR(DC16)=2027)),DC16+Datos!$A$11-22,DC16+Datos!$A$11)</f>
        <v>47070</v>
      </c>
      <c r="DE16" s="12">
        <f>+IF(AND(MONTH(DD16)=12,OR(YEAR(DD16)=2023,YEAR(DD16)=2027)),DD16+Datos!$A$11-22,DD16+Datos!$A$11)</f>
        <v>47101</v>
      </c>
      <c r="DF16" s="12">
        <f>+IF(AND(MONTH(DE16)=12,OR(YEAR(DE16)=2023,YEAR(DE16)=2027)),DE16+Datos!$A$11-22,DE16+Datos!$A$11)</f>
        <v>47132</v>
      </c>
      <c r="DG16" s="12">
        <f>+IF(AND(MONTH(DF16)=12,OR(YEAR(DF16)=2023,YEAR(DF16)=2027)),DF16+Datos!$A$11-22,DF16+Datos!$A$11)</f>
        <v>47163</v>
      </c>
      <c r="DH16" s="12">
        <f>+IF(AND(MONTH(DG16)=12,OR(YEAR(DG16)=2023,YEAR(DG16)=2027)),DG16+Datos!$A$11-22,DG16+Datos!$A$11)</f>
        <v>47194</v>
      </c>
      <c r="DI16" s="12">
        <f>+IF(AND(MONTH(DH16)=12,OR(YEAR(DH16)=2023,YEAR(DH16)=2027)),DH16+Datos!$A$11-22,DH16+Datos!$A$11)</f>
        <v>47225</v>
      </c>
      <c r="DJ16" s="12">
        <f>+IF(AND(MONTH(DI16)=12,OR(YEAR(DI16)=2023,YEAR(DI16)=2027)),DI16+Datos!$A$11-22,DI16+Datos!$A$11)</f>
        <v>47256</v>
      </c>
      <c r="DK16" s="12">
        <f>+IF(AND(MONTH(DJ16)=12,OR(YEAR(DJ16)=2023,YEAR(DJ16)=2027)),DJ16+Datos!$A$11-22,DJ16+Datos!$A$11)</f>
        <v>47287</v>
      </c>
      <c r="DL16" s="12">
        <f>+IF(AND(MONTH(DK16)=12,OR(YEAR(DK16)=2023,YEAR(DK16)=2027)),DK16+Datos!$A$11-22,DK16+Datos!$A$11)</f>
        <v>47318</v>
      </c>
      <c r="DM16" s="12">
        <f>+IF(AND(MONTH(DL16)=12,OR(YEAR(DL16)=2023,YEAR(DL16)=2027)),DL16+Datos!$A$11-22,DL16+Datos!$A$11)</f>
        <v>47349</v>
      </c>
      <c r="DN16" s="12">
        <f>+IF(AND(MONTH(DM16)=12,OR(YEAR(DM16)=2023,YEAR(DM16)=2027)),DM16+Datos!$A$11-22,DM16+Datos!$A$11)</f>
        <v>47380</v>
      </c>
      <c r="DO16" s="12">
        <f>+IF(AND(MONTH(DN16)=12,OR(YEAR(DN16)=2023,YEAR(DN16)=2027)),DN16+Datos!$A$11-22,DN16+Datos!$A$11)</f>
        <v>47411</v>
      </c>
      <c r="DP16" s="12">
        <f>+IF(AND(MONTH(DO16)=12,OR(YEAR(DO16)=2023,YEAR(DO16)=2027)),DO16+Datos!$A$11-22,DO16+Datos!$A$11)</f>
        <v>47442</v>
      </c>
      <c r="DQ16" s="12">
        <f>+IF(AND(MONTH(DP16)=12,OR(YEAR(DP16)=2023,YEAR(DP16)=2027)),DP16+Datos!$A$11-22,DP16+Datos!$A$11)</f>
        <v>47473</v>
      </c>
      <c r="DR16" s="12">
        <f>+IF(AND(MONTH(DQ16)=12,OR(YEAR(DQ16)=2023,YEAR(DQ16)=2027)),DQ16+Datos!$A$11-22,DQ16+Datos!$A$11)</f>
        <v>47504</v>
      </c>
      <c r="DS16" s="12">
        <f>+IF(AND(MONTH(DR16)=12,OR(YEAR(DR16)=2023,YEAR(DR16)=2027)),DR16+Datos!$A$11-22,DR16+Datos!$A$11)</f>
        <v>47535</v>
      </c>
      <c r="DT16" s="12">
        <f>+IF(AND(MONTH(DS16)=12,OR(YEAR(DS16)=2023,YEAR(DS16)=2027)),DS16+Datos!$A$11-22,DS16+Datos!$A$11)</f>
        <v>47566</v>
      </c>
      <c r="DU16" s="12">
        <f>+IF(AND(MONTH(DT16)=12,OR(YEAR(DT16)=2023,YEAR(DT16)=2027)),DT16+Datos!$A$11-22,DT16+Datos!$A$11)</f>
        <v>47597</v>
      </c>
      <c r="DV16" s="12">
        <f>+IF(AND(MONTH(DU16)=12,OR(YEAR(DU16)=2023,YEAR(DU16)=2027)),DU16+Datos!$A$11-22,DU16+Datos!$A$11)</f>
        <v>47628</v>
      </c>
    </row>
    <row r="17" spans="1:126" ht="16.5" thickBot="1" x14ac:dyDescent="0.3">
      <c r="A17" s="153" t="str">
        <f>+'Parametros tecnológicos'!C4</f>
        <v>5G</v>
      </c>
      <c r="B17" s="154"/>
      <c r="C17" s="155"/>
      <c r="D17" s="35"/>
      <c r="E17" s="35"/>
      <c r="F17" s="1">
        <f t="shared" ref="F17:F48" si="28">+IF($A17="","",$B17+IF(MONTH($B$8)-MONTH($B$7)+$E$14=E$14,$C17,0))</f>
        <v>0</v>
      </c>
      <c r="G17" s="1">
        <f t="shared" ref="G17:AL17" si="29">+(IF($A17="","",IF($D17&gt;MONTH(G$16)-MONTH(InicioFuncion)+12*(YEAR(G$16)-YEAR(InicioFuncion))+1,0,IF($E17&lt;=(MONTH(G$16)-MONTH(InicioFuncion)+12*(YEAR(G$16)-YEAR(InicioFuncion)))-$D17,0,IF(G$15&gt;$B$9,0,IF((YEAR($B$8)-YEAR($B$7))*12+(MONTH($B$8)-MONTH($B$7))+$E$14&lt;=F$14,$C17))))*HLOOKUP(YEAR(G$16),$E$3:$O$5,3,0)))</f>
        <v>0</v>
      </c>
      <c r="H17" s="1">
        <f t="shared" si="29"/>
        <v>0</v>
      </c>
      <c r="I17" s="1">
        <f t="shared" si="29"/>
        <v>0</v>
      </c>
      <c r="J17" s="1">
        <f t="shared" si="29"/>
        <v>0</v>
      </c>
      <c r="K17" s="1">
        <f t="shared" si="29"/>
        <v>0</v>
      </c>
      <c r="L17" s="1">
        <f t="shared" si="29"/>
        <v>0</v>
      </c>
      <c r="M17" s="1">
        <f t="shared" si="29"/>
        <v>0</v>
      </c>
      <c r="N17" s="1">
        <f t="shared" si="29"/>
        <v>0</v>
      </c>
      <c r="O17" s="1">
        <f t="shared" si="29"/>
        <v>0</v>
      </c>
      <c r="P17" s="1">
        <f t="shared" si="29"/>
        <v>0</v>
      </c>
      <c r="Q17" s="1">
        <f t="shared" si="29"/>
        <v>0</v>
      </c>
      <c r="R17" s="1">
        <f t="shared" si="29"/>
        <v>0</v>
      </c>
      <c r="S17" s="1">
        <f t="shared" si="29"/>
        <v>0</v>
      </c>
      <c r="T17" s="1">
        <f t="shared" si="29"/>
        <v>0</v>
      </c>
      <c r="U17" s="1">
        <f t="shared" si="29"/>
        <v>0</v>
      </c>
      <c r="V17" s="1">
        <f t="shared" si="29"/>
        <v>0</v>
      </c>
      <c r="W17" s="1">
        <f t="shared" si="29"/>
        <v>0</v>
      </c>
      <c r="X17" s="1">
        <f t="shared" si="29"/>
        <v>0</v>
      </c>
      <c r="Y17" s="1">
        <f t="shared" si="29"/>
        <v>0</v>
      </c>
      <c r="Z17" s="1">
        <f t="shared" si="29"/>
        <v>0</v>
      </c>
      <c r="AA17" s="1">
        <f t="shared" si="29"/>
        <v>0</v>
      </c>
      <c r="AB17" s="1">
        <f t="shared" si="29"/>
        <v>0</v>
      </c>
      <c r="AC17" s="1">
        <f t="shared" si="29"/>
        <v>0</v>
      </c>
      <c r="AD17" s="1">
        <f t="shared" si="29"/>
        <v>0</v>
      </c>
      <c r="AE17" s="1">
        <f t="shared" si="29"/>
        <v>0</v>
      </c>
      <c r="AF17" s="1">
        <f t="shared" si="29"/>
        <v>0</v>
      </c>
      <c r="AG17" s="1">
        <f t="shared" si="29"/>
        <v>0</v>
      </c>
      <c r="AH17" s="1">
        <f t="shared" si="29"/>
        <v>0</v>
      </c>
      <c r="AI17" s="1">
        <f t="shared" si="29"/>
        <v>0</v>
      </c>
      <c r="AJ17" s="1">
        <f t="shared" si="29"/>
        <v>0</v>
      </c>
      <c r="AK17" s="1">
        <f t="shared" si="29"/>
        <v>0</v>
      </c>
      <c r="AL17" s="1">
        <f t="shared" si="29"/>
        <v>0</v>
      </c>
      <c r="AM17" s="1">
        <f t="shared" ref="AM17:BR17" si="30">+(IF($A17="","",IF($D17&gt;MONTH(AM$16)-MONTH(InicioFuncion)+12*(YEAR(AM$16)-YEAR(InicioFuncion))+1,0,IF($E17&lt;=(MONTH(AM$16)-MONTH(InicioFuncion)+12*(YEAR(AM$16)-YEAR(InicioFuncion)))-$D17,0,IF(AM$15&gt;$B$9,0,IF((YEAR($B$8)-YEAR($B$7))*12+(MONTH($B$8)-MONTH($B$7))+$E$14&lt;=AL$14,$C17))))*HLOOKUP(YEAR(AM$16),$E$3:$O$5,3,0)))</f>
        <v>0</v>
      </c>
      <c r="AN17" s="1">
        <f t="shared" si="30"/>
        <v>0</v>
      </c>
      <c r="AO17" s="1">
        <f t="shared" si="30"/>
        <v>0</v>
      </c>
      <c r="AP17" s="1">
        <f t="shared" si="30"/>
        <v>0</v>
      </c>
      <c r="AQ17" s="1">
        <f t="shared" si="30"/>
        <v>0</v>
      </c>
      <c r="AR17" s="1">
        <f t="shared" si="30"/>
        <v>0</v>
      </c>
      <c r="AS17" s="1">
        <f t="shared" si="30"/>
        <v>0</v>
      </c>
      <c r="AT17" s="1">
        <f t="shared" si="30"/>
        <v>0</v>
      </c>
      <c r="AU17" s="1">
        <f t="shared" si="30"/>
        <v>0</v>
      </c>
      <c r="AV17" s="1">
        <f t="shared" si="30"/>
        <v>0</v>
      </c>
      <c r="AW17" s="1">
        <f t="shared" si="30"/>
        <v>0</v>
      </c>
      <c r="AX17" s="1">
        <f t="shared" si="30"/>
        <v>0</v>
      </c>
      <c r="AY17" s="1">
        <f t="shared" si="30"/>
        <v>0</v>
      </c>
      <c r="AZ17" s="1">
        <f t="shared" si="30"/>
        <v>0</v>
      </c>
      <c r="BA17" s="1">
        <f t="shared" si="30"/>
        <v>0</v>
      </c>
      <c r="BB17" s="1">
        <f t="shared" si="30"/>
        <v>0</v>
      </c>
      <c r="BC17" s="1">
        <f t="shared" si="30"/>
        <v>0</v>
      </c>
      <c r="BD17" s="1">
        <f t="shared" si="30"/>
        <v>0</v>
      </c>
      <c r="BE17" s="1">
        <f t="shared" si="30"/>
        <v>0</v>
      </c>
      <c r="BF17" s="1">
        <f t="shared" si="30"/>
        <v>0</v>
      </c>
      <c r="BG17" s="1">
        <f t="shared" si="30"/>
        <v>0</v>
      </c>
      <c r="BH17" s="1">
        <f t="shared" si="30"/>
        <v>0</v>
      </c>
      <c r="BI17" s="1">
        <f t="shared" si="30"/>
        <v>0</v>
      </c>
      <c r="BJ17" s="1">
        <f t="shared" si="30"/>
        <v>0</v>
      </c>
      <c r="BK17" s="1">
        <f t="shared" si="30"/>
        <v>0</v>
      </c>
      <c r="BL17" s="1">
        <f t="shared" si="30"/>
        <v>0</v>
      </c>
      <c r="BM17" s="1">
        <f t="shared" si="30"/>
        <v>0</v>
      </c>
      <c r="BN17" s="1">
        <f t="shared" si="30"/>
        <v>0</v>
      </c>
      <c r="BO17" s="1">
        <f t="shared" si="30"/>
        <v>0</v>
      </c>
      <c r="BP17" s="1">
        <f t="shared" si="30"/>
        <v>0</v>
      </c>
      <c r="BQ17" s="1">
        <f t="shared" si="30"/>
        <v>0</v>
      </c>
      <c r="BR17" s="1">
        <f t="shared" si="30"/>
        <v>0</v>
      </c>
      <c r="BS17" s="1">
        <f t="shared" ref="BS17:CX17" si="31">+(IF($A17="","",IF($D17&gt;MONTH(BS$16)-MONTH(InicioFuncion)+12*(YEAR(BS$16)-YEAR(InicioFuncion))+1,0,IF($E17&lt;=(MONTH(BS$16)-MONTH(InicioFuncion)+12*(YEAR(BS$16)-YEAR(InicioFuncion)))-$D17,0,IF(BS$15&gt;$B$9,0,IF((YEAR($B$8)-YEAR($B$7))*12+(MONTH($B$8)-MONTH($B$7))+$E$14&lt;=BR$14,$C17))))*HLOOKUP(YEAR(BS$16),$E$3:$O$5,3,0)))</f>
        <v>0</v>
      </c>
      <c r="BT17" s="1">
        <f t="shared" si="31"/>
        <v>0</v>
      </c>
      <c r="BU17" s="1">
        <f t="shared" si="31"/>
        <v>0</v>
      </c>
      <c r="BV17" s="1">
        <f t="shared" si="31"/>
        <v>0</v>
      </c>
      <c r="BW17" s="1">
        <f t="shared" si="31"/>
        <v>0</v>
      </c>
      <c r="BX17" s="1">
        <f t="shared" si="31"/>
        <v>0</v>
      </c>
      <c r="BY17" s="1">
        <f t="shared" si="31"/>
        <v>0</v>
      </c>
      <c r="BZ17" s="1">
        <f t="shared" si="31"/>
        <v>0</v>
      </c>
      <c r="CA17" s="1">
        <f t="shared" si="31"/>
        <v>0</v>
      </c>
      <c r="CB17" s="1">
        <f t="shared" si="31"/>
        <v>0</v>
      </c>
      <c r="CC17" s="1">
        <f t="shared" si="31"/>
        <v>0</v>
      </c>
      <c r="CD17" s="1">
        <f t="shared" si="31"/>
        <v>0</v>
      </c>
      <c r="CE17" s="1">
        <f t="shared" si="31"/>
        <v>0</v>
      </c>
      <c r="CF17" s="1">
        <f t="shared" si="31"/>
        <v>0</v>
      </c>
      <c r="CG17" s="1">
        <f t="shared" si="31"/>
        <v>0</v>
      </c>
      <c r="CH17" s="1">
        <f t="shared" si="31"/>
        <v>0</v>
      </c>
      <c r="CI17" s="1">
        <f t="shared" si="31"/>
        <v>0</v>
      </c>
      <c r="CJ17" s="1">
        <f t="shared" si="31"/>
        <v>0</v>
      </c>
      <c r="CK17" s="1">
        <f t="shared" si="31"/>
        <v>0</v>
      </c>
      <c r="CL17" s="1">
        <f t="shared" si="31"/>
        <v>0</v>
      </c>
      <c r="CM17" s="1">
        <f t="shared" si="31"/>
        <v>0</v>
      </c>
      <c r="CN17" s="1">
        <f t="shared" si="31"/>
        <v>0</v>
      </c>
      <c r="CO17" s="1">
        <f t="shared" si="31"/>
        <v>0</v>
      </c>
      <c r="CP17" s="1">
        <f t="shared" si="31"/>
        <v>0</v>
      </c>
      <c r="CQ17" s="1">
        <f t="shared" si="31"/>
        <v>0</v>
      </c>
      <c r="CR17" s="1">
        <f t="shared" si="31"/>
        <v>0</v>
      </c>
      <c r="CS17" s="1">
        <f t="shared" si="31"/>
        <v>0</v>
      </c>
      <c r="CT17" s="1">
        <f t="shared" si="31"/>
        <v>0</v>
      </c>
      <c r="CU17" s="1">
        <f t="shared" si="31"/>
        <v>0</v>
      </c>
      <c r="CV17" s="1">
        <f t="shared" si="31"/>
        <v>0</v>
      </c>
      <c r="CW17" s="1">
        <f t="shared" si="31"/>
        <v>0</v>
      </c>
      <c r="CX17" s="1">
        <f t="shared" si="31"/>
        <v>0</v>
      </c>
      <c r="CY17" s="1">
        <f t="shared" ref="CY17:DV17" si="32">+(IF($A17="","",IF($D17&gt;MONTH(CY$16)-MONTH(InicioFuncion)+12*(YEAR(CY$16)-YEAR(InicioFuncion))+1,0,IF($E17&lt;=(MONTH(CY$16)-MONTH(InicioFuncion)+12*(YEAR(CY$16)-YEAR(InicioFuncion)))-$D17,0,IF(CY$15&gt;$B$9,0,IF((YEAR($B$8)-YEAR($B$7))*12+(MONTH($B$8)-MONTH($B$7))+$E$14&lt;=CX$14,$C17))))*HLOOKUP(YEAR(CY$16),$E$3:$O$5,3,0)))</f>
        <v>0</v>
      </c>
      <c r="CZ17" s="1">
        <f t="shared" si="32"/>
        <v>0</v>
      </c>
      <c r="DA17" s="1">
        <f t="shared" si="32"/>
        <v>0</v>
      </c>
      <c r="DB17" s="1">
        <f t="shared" si="32"/>
        <v>0</v>
      </c>
      <c r="DC17" s="1">
        <f t="shared" si="32"/>
        <v>0</v>
      </c>
      <c r="DD17" s="1">
        <f t="shared" si="32"/>
        <v>0</v>
      </c>
      <c r="DE17" s="1">
        <f t="shared" si="32"/>
        <v>0</v>
      </c>
      <c r="DF17" s="1">
        <f t="shared" si="32"/>
        <v>0</v>
      </c>
      <c r="DG17" s="1">
        <f t="shared" si="32"/>
        <v>0</v>
      </c>
      <c r="DH17" s="1">
        <f t="shared" si="32"/>
        <v>0</v>
      </c>
      <c r="DI17" s="1">
        <f t="shared" si="32"/>
        <v>0</v>
      </c>
      <c r="DJ17" s="1">
        <f t="shared" si="32"/>
        <v>0</v>
      </c>
      <c r="DK17" s="1">
        <f t="shared" si="32"/>
        <v>0</v>
      </c>
      <c r="DL17" s="1">
        <f t="shared" si="32"/>
        <v>0</v>
      </c>
      <c r="DM17" s="1">
        <f t="shared" si="32"/>
        <v>0</v>
      </c>
      <c r="DN17" s="1">
        <f t="shared" si="32"/>
        <v>0</v>
      </c>
      <c r="DO17" s="1">
        <f t="shared" si="32"/>
        <v>0</v>
      </c>
      <c r="DP17" s="1">
        <f t="shared" si="32"/>
        <v>0</v>
      </c>
      <c r="DQ17" s="1">
        <f t="shared" si="32"/>
        <v>0</v>
      </c>
      <c r="DR17" s="1">
        <f t="shared" si="32"/>
        <v>0</v>
      </c>
      <c r="DS17" s="1">
        <f t="shared" si="32"/>
        <v>0</v>
      </c>
      <c r="DT17" s="1">
        <f t="shared" si="32"/>
        <v>0</v>
      </c>
      <c r="DU17" s="1">
        <f t="shared" si="32"/>
        <v>0</v>
      </c>
      <c r="DV17" s="1">
        <f t="shared" si="32"/>
        <v>0</v>
      </c>
    </row>
    <row r="18" spans="1:126" ht="16.5" thickBot="1" x14ac:dyDescent="0.3">
      <c r="A18" s="156" t="s">
        <v>311</v>
      </c>
      <c r="B18" s="157"/>
      <c r="C18" s="158"/>
      <c r="D18" s="35"/>
      <c r="E18" s="35"/>
      <c r="F18" s="1">
        <f t="shared" si="28"/>
        <v>0</v>
      </c>
      <c r="G18" s="1">
        <f t="shared" ref="G18:AL18" si="33">+(IF($A18="","",IF($D18&gt;MONTH(G$16)-MONTH(InicioFuncion)+12*(YEAR(G$16)-YEAR(InicioFuncion))+1,0,IF($E18&lt;=(MONTH(G$16)-MONTH(InicioFuncion)+12*(YEAR(G$16)-YEAR(InicioFuncion)))-$D18,0,IF(G$15&gt;$B$9,0,IF((YEAR($B$8)-YEAR($B$7))*12+(MONTH($B$8)-MONTH($B$7))+$E$14&lt;=F$14,$C18))))*HLOOKUP(YEAR(G$16),$E$3:$O$5,3,0)))</f>
        <v>0</v>
      </c>
      <c r="H18" s="1">
        <f t="shared" si="33"/>
        <v>0</v>
      </c>
      <c r="I18" s="1">
        <f t="shared" si="33"/>
        <v>0</v>
      </c>
      <c r="J18" s="1">
        <f t="shared" si="33"/>
        <v>0</v>
      </c>
      <c r="K18" s="1">
        <f t="shared" si="33"/>
        <v>0</v>
      </c>
      <c r="L18" s="1">
        <f t="shared" si="33"/>
        <v>0</v>
      </c>
      <c r="M18" s="1">
        <f t="shared" si="33"/>
        <v>0</v>
      </c>
      <c r="N18" s="1">
        <f t="shared" si="33"/>
        <v>0</v>
      </c>
      <c r="O18" s="1">
        <f t="shared" si="33"/>
        <v>0</v>
      </c>
      <c r="P18" s="1">
        <f t="shared" si="33"/>
        <v>0</v>
      </c>
      <c r="Q18" s="1">
        <f t="shared" si="33"/>
        <v>0</v>
      </c>
      <c r="R18" s="1">
        <f t="shared" si="33"/>
        <v>0</v>
      </c>
      <c r="S18" s="1">
        <f t="shared" si="33"/>
        <v>0</v>
      </c>
      <c r="T18" s="1">
        <f t="shared" si="33"/>
        <v>0</v>
      </c>
      <c r="U18" s="1">
        <f t="shared" si="33"/>
        <v>0</v>
      </c>
      <c r="V18" s="1">
        <f t="shared" si="33"/>
        <v>0</v>
      </c>
      <c r="W18" s="1">
        <f t="shared" si="33"/>
        <v>0</v>
      </c>
      <c r="X18" s="1">
        <f t="shared" si="33"/>
        <v>0</v>
      </c>
      <c r="Y18" s="1">
        <f t="shared" si="33"/>
        <v>0</v>
      </c>
      <c r="Z18" s="1">
        <f t="shared" si="33"/>
        <v>0</v>
      </c>
      <c r="AA18" s="1">
        <f t="shared" si="33"/>
        <v>0</v>
      </c>
      <c r="AB18" s="1">
        <f t="shared" si="33"/>
        <v>0</v>
      </c>
      <c r="AC18" s="1">
        <f t="shared" si="33"/>
        <v>0</v>
      </c>
      <c r="AD18" s="1">
        <f t="shared" si="33"/>
        <v>0</v>
      </c>
      <c r="AE18" s="1">
        <f t="shared" si="33"/>
        <v>0</v>
      </c>
      <c r="AF18" s="1">
        <f t="shared" si="33"/>
        <v>0</v>
      </c>
      <c r="AG18" s="1">
        <f t="shared" si="33"/>
        <v>0</v>
      </c>
      <c r="AH18" s="1">
        <f t="shared" si="33"/>
        <v>0</v>
      </c>
      <c r="AI18" s="1">
        <f t="shared" si="33"/>
        <v>0</v>
      </c>
      <c r="AJ18" s="1">
        <f t="shared" si="33"/>
        <v>0</v>
      </c>
      <c r="AK18" s="1">
        <f t="shared" si="33"/>
        <v>0</v>
      </c>
      <c r="AL18" s="1">
        <f t="shared" si="33"/>
        <v>0</v>
      </c>
      <c r="AM18" s="1">
        <f t="shared" ref="AM18:BR18" si="34">+(IF($A18="","",IF($D18&gt;MONTH(AM$16)-MONTH(InicioFuncion)+12*(YEAR(AM$16)-YEAR(InicioFuncion))+1,0,IF($E18&lt;=(MONTH(AM$16)-MONTH(InicioFuncion)+12*(YEAR(AM$16)-YEAR(InicioFuncion)))-$D18,0,IF(AM$15&gt;$B$9,0,IF((YEAR($B$8)-YEAR($B$7))*12+(MONTH($B$8)-MONTH($B$7))+$E$14&lt;=AL$14,$C18))))*HLOOKUP(YEAR(AM$16),$E$3:$O$5,3,0)))</f>
        <v>0</v>
      </c>
      <c r="AN18" s="1">
        <f t="shared" si="34"/>
        <v>0</v>
      </c>
      <c r="AO18" s="1">
        <f t="shared" si="34"/>
        <v>0</v>
      </c>
      <c r="AP18" s="1">
        <f t="shared" si="34"/>
        <v>0</v>
      </c>
      <c r="AQ18" s="1">
        <f t="shared" si="34"/>
        <v>0</v>
      </c>
      <c r="AR18" s="1">
        <f t="shared" si="34"/>
        <v>0</v>
      </c>
      <c r="AS18" s="1">
        <f t="shared" si="34"/>
        <v>0</v>
      </c>
      <c r="AT18" s="1">
        <f t="shared" si="34"/>
        <v>0</v>
      </c>
      <c r="AU18" s="1">
        <f t="shared" si="34"/>
        <v>0</v>
      </c>
      <c r="AV18" s="1">
        <f t="shared" si="34"/>
        <v>0</v>
      </c>
      <c r="AW18" s="1">
        <f t="shared" si="34"/>
        <v>0</v>
      </c>
      <c r="AX18" s="1">
        <f t="shared" si="34"/>
        <v>0</v>
      </c>
      <c r="AY18" s="1">
        <f t="shared" si="34"/>
        <v>0</v>
      </c>
      <c r="AZ18" s="1">
        <f t="shared" si="34"/>
        <v>0</v>
      </c>
      <c r="BA18" s="1">
        <f t="shared" si="34"/>
        <v>0</v>
      </c>
      <c r="BB18" s="1">
        <f t="shared" si="34"/>
        <v>0</v>
      </c>
      <c r="BC18" s="1">
        <f t="shared" si="34"/>
        <v>0</v>
      </c>
      <c r="BD18" s="1">
        <f t="shared" si="34"/>
        <v>0</v>
      </c>
      <c r="BE18" s="1">
        <f t="shared" si="34"/>
        <v>0</v>
      </c>
      <c r="BF18" s="1">
        <f t="shared" si="34"/>
        <v>0</v>
      </c>
      <c r="BG18" s="1">
        <f t="shared" si="34"/>
        <v>0</v>
      </c>
      <c r="BH18" s="1">
        <f t="shared" si="34"/>
        <v>0</v>
      </c>
      <c r="BI18" s="1">
        <f t="shared" si="34"/>
        <v>0</v>
      </c>
      <c r="BJ18" s="1">
        <f t="shared" si="34"/>
        <v>0</v>
      </c>
      <c r="BK18" s="1">
        <f t="shared" si="34"/>
        <v>0</v>
      </c>
      <c r="BL18" s="1">
        <f t="shared" si="34"/>
        <v>0</v>
      </c>
      <c r="BM18" s="1">
        <f t="shared" si="34"/>
        <v>0</v>
      </c>
      <c r="BN18" s="1">
        <f t="shared" si="34"/>
        <v>0</v>
      </c>
      <c r="BO18" s="1">
        <f t="shared" si="34"/>
        <v>0</v>
      </c>
      <c r="BP18" s="1">
        <f t="shared" si="34"/>
        <v>0</v>
      </c>
      <c r="BQ18" s="1">
        <f t="shared" si="34"/>
        <v>0</v>
      </c>
      <c r="BR18" s="1">
        <f t="shared" si="34"/>
        <v>0</v>
      </c>
      <c r="BS18" s="1">
        <f t="shared" ref="BS18:CX18" si="35">+(IF($A18="","",IF($D18&gt;MONTH(BS$16)-MONTH(InicioFuncion)+12*(YEAR(BS$16)-YEAR(InicioFuncion))+1,0,IF($E18&lt;=(MONTH(BS$16)-MONTH(InicioFuncion)+12*(YEAR(BS$16)-YEAR(InicioFuncion)))-$D18,0,IF(BS$15&gt;$B$9,0,IF((YEAR($B$8)-YEAR($B$7))*12+(MONTH($B$8)-MONTH($B$7))+$E$14&lt;=BR$14,$C18))))*HLOOKUP(YEAR(BS$16),$E$3:$O$5,3,0)))</f>
        <v>0</v>
      </c>
      <c r="BT18" s="1">
        <f t="shared" si="35"/>
        <v>0</v>
      </c>
      <c r="BU18" s="1">
        <f t="shared" si="35"/>
        <v>0</v>
      </c>
      <c r="BV18" s="1">
        <f t="shared" si="35"/>
        <v>0</v>
      </c>
      <c r="BW18" s="1">
        <f t="shared" si="35"/>
        <v>0</v>
      </c>
      <c r="BX18" s="1">
        <f t="shared" si="35"/>
        <v>0</v>
      </c>
      <c r="BY18" s="1">
        <f t="shared" si="35"/>
        <v>0</v>
      </c>
      <c r="BZ18" s="1">
        <f t="shared" si="35"/>
        <v>0</v>
      </c>
      <c r="CA18" s="1">
        <f t="shared" si="35"/>
        <v>0</v>
      </c>
      <c r="CB18" s="1">
        <f t="shared" si="35"/>
        <v>0</v>
      </c>
      <c r="CC18" s="1">
        <f t="shared" si="35"/>
        <v>0</v>
      </c>
      <c r="CD18" s="1">
        <f t="shared" si="35"/>
        <v>0</v>
      </c>
      <c r="CE18" s="1">
        <f t="shared" si="35"/>
        <v>0</v>
      </c>
      <c r="CF18" s="1">
        <f t="shared" si="35"/>
        <v>0</v>
      </c>
      <c r="CG18" s="1">
        <f t="shared" si="35"/>
        <v>0</v>
      </c>
      <c r="CH18" s="1">
        <f t="shared" si="35"/>
        <v>0</v>
      </c>
      <c r="CI18" s="1">
        <f t="shared" si="35"/>
        <v>0</v>
      </c>
      <c r="CJ18" s="1">
        <f t="shared" si="35"/>
        <v>0</v>
      </c>
      <c r="CK18" s="1">
        <f t="shared" si="35"/>
        <v>0</v>
      </c>
      <c r="CL18" s="1">
        <f t="shared" si="35"/>
        <v>0</v>
      </c>
      <c r="CM18" s="1">
        <f t="shared" si="35"/>
        <v>0</v>
      </c>
      <c r="CN18" s="1">
        <f t="shared" si="35"/>
        <v>0</v>
      </c>
      <c r="CO18" s="1">
        <f t="shared" si="35"/>
        <v>0</v>
      </c>
      <c r="CP18" s="1">
        <f t="shared" si="35"/>
        <v>0</v>
      </c>
      <c r="CQ18" s="1">
        <f t="shared" si="35"/>
        <v>0</v>
      </c>
      <c r="CR18" s="1">
        <f t="shared" si="35"/>
        <v>0</v>
      </c>
      <c r="CS18" s="1">
        <f t="shared" si="35"/>
        <v>0</v>
      </c>
      <c r="CT18" s="1">
        <f t="shared" si="35"/>
        <v>0</v>
      </c>
      <c r="CU18" s="1">
        <f t="shared" si="35"/>
        <v>0</v>
      </c>
      <c r="CV18" s="1">
        <f t="shared" si="35"/>
        <v>0</v>
      </c>
      <c r="CW18" s="1">
        <f t="shared" si="35"/>
        <v>0</v>
      </c>
      <c r="CX18" s="1">
        <f t="shared" si="35"/>
        <v>0</v>
      </c>
      <c r="CY18" s="1">
        <f t="shared" ref="CY18:DV18" si="36">+(IF($A18="","",IF($D18&gt;MONTH(CY$16)-MONTH(InicioFuncion)+12*(YEAR(CY$16)-YEAR(InicioFuncion))+1,0,IF($E18&lt;=(MONTH(CY$16)-MONTH(InicioFuncion)+12*(YEAR(CY$16)-YEAR(InicioFuncion)))-$D18,0,IF(CY$15&gt;$B$9,0,IF((YEAR($B$8)-YEAR($B$7))*12+(MONTH($B$8)-MONTH($B$7))+$E$14&lt;=CX$14,$C18))))*HLOOKUP(YEAR(CY$16),$E$3:$O$5,3,0)))</f>
        <v>0</v>
      </c>
      <c r="CZ18" s="1">
        <f t="shared" si="36"/>
        <v>0</v>
      </c>
      <c r="DA18" s="1">
        <f t="shared" si="36"/>
        <v>0</v>
      </c>
      <c r="DB18" s="1">
        <f t="shared" si="36"/>
        <v>0</v>
      </c>
      <c r="DC18" s="1">
        <f t="shared" si="36"/>
        <v>0</v>
      </c>
      <c r="DD18" s="1">
        <f t="shared" si="36"/>
        <v>0</v>
      </c>
      <c r="DE18" s="1">
        <f t="shared" si="36"/>
        <v>0</v>
      </c>
      <c r="DF18" s="1">
        <f t="shared" si="36"/>
        <v>0</v>
      </c>
      <c r="DG18" s="1">
        <f t="shared" si="36"/>
        <v>0</v>
      </c>
      <c r="DH18" s="1">
        <f t="shared" si="36"/>
        <v>0</v>
      </c>
      <c r="DI18" s="1">
        <f t="shared" si="36"/>
        <v>0</v>
      </c>
      <c r="DJ18" s="1">
        <f t="shared" si="36"/>
        <v>0</v>
      </c>
      <c r="DK18" s="1">
        <f t="shared" si="36"/>
        <v>0</v>
      </c>
      <c r="DL18" s="1">
        <f t="shared" si="36"/>
        <v>0</v>
      </c>
      <c r="DM18" s="1">
        <f t="shared" si="36"/>
        <v>0</v>
      </c>
      <c r="DN18" s="1">
        <f t="shared" si="36"/>
        <v>0</v>
      </c>
      <c r="DO18" s="1">
        <f t="shared" si="36"/>
        <v>0</v>
      </c>
      <c r="DP18" s="1">
        <f t="shared" si="36"/>
        <v>0</v>
      </c>
      <c r="DQ18" s="1">
        <f t="shared" si="36"/>
        <v>0</v>
      </c>
      <c r="DR18" s="1">
        <f t="shared" si="36"/>
        <v>0</v>
      </c>
      <c r="DS18" s="1">
        <f t="shared" si="36"/>
        <v>0</v>
      </c>
      <c r="DT18" s="1">
        <f t="shared" si="36"/>
        <v>0</v>
      </c>
      <c r="DU18" s="1">
        <f t="shared" si="36"/>
        <v>0</v>
      </c>
      <c r="DV18" s="1">
        <f t="shared" si="36"/>
        <v>0</v>
      </c>
    </row>
    <row r="19" spans="1:126" x14ac:dyDescent="0.25">
      <c r="A19" s="26" t="s">
        <v>84</v>
      </c>
      <c r="B19" s="26"/>
      <c r="C19" s="36">
        <f>+SUMIFS(ValoresMercado,Conceptos,A19,Tipo,TipoEspecifico,Relacion,KW_EnergiaValor)</f>
        <v>2809113.16</v>
      </c>
      <c r="D19" s="35">
        <v>5</v>
      </c>
      <c r="E19" s="35">
        <f t="shared" ref="E19:E75" si="37">+MesesReconocimiento</f>
        <v>56</v>
      </c>
      <c r="F19" s="1">
        <f t="shared" si="28"/>
        <v>0</v>
      </c>
      <c r="G19" s="1">
        <f t="shared" ref="G19:AL19" si="38">+(IF($A19="","",IF($D19&gt;MONTH(G$16)-MONTH(InicioFuncion)+12*(YEAR(G$16)-YEAR(InicioFuncion))+1,0,IF($E19&lt;=(MONTH(G$16)-MONTH(InicioFuncion)+12*(YEAR(G$16)-YEAR(InicioFuncion)))-$D19+IF($D19&lt;&gt;"",1,0),0,IF(G$15&gt;$B$9,0,IF((YEAR($B$8)-YEAR($B$7))*12+(MONTH($B$8)-MONTH($B$7))+$E$14&lt;=F$14,$C19))))*HLOOKUP(YEAR(G$16),$E$3:$O$5,3,0)))</f>
        <v>0</v>
      </c>
      <c r="H19" s="1">
        <f t="shared" si="38"/>
        <v>0</v>
      </c>
      <c r="I19" s="1">
        <f t="shared" si="38"/>
        <v>0</v>
      </c>
      <c r="J19" s="1">
        <f t="shared" si="38"/>
        <v>0</v>
      </c>
      <c r="K19" s="1">
        <f t="shared" si="38"/>
        <v>0</v>
      </c>
      <c r="L19" s="1">
        <f t="shared" si="38"/>
        <v>2809113.16</v>
      </c>
      <c r="M19" s="1">
        <f t="shared" si="38"/>
        <v>2809113.16</v>
      </c>
      <c r="N19" s="1">
        <f t="shared" si="38"/>
        <v>2893386.5548</v>
      </c>
      <c r="O19" s="1">
        <f t="shared" si="38"/>
        <v>2893386.5548</v>
      </c>
      <c r="P19" s="1">
        <f t="shared" si="38"/>
        <v>2893386.5548</v>
      </c>
      <c r="Q19" s="1">
        <f t="shared" si="38"/>
        <v>2893386.5548</v>
      </c>
      <c r="R19" s="1">
        <f t="shared" si="38"/>
        <v>2893386.5548</v>
      </c>
      <c r="S19" s="1">
        <f t="shared" si="38"/>
        <v>2893386.5548</v>
      </c>
      <c r="T19" s="1">
        <f t="shared" si="38"/>
        <v>2893386.5548</v>
      </c>
      <c r="U19" s="1">
        <f t="shared" si="38"/>
        <v>2893386.5548</v>
      </c>
      <c r="V19" s="1">
        <f t="shared" si="38"/>
        <v>2893386.5548</v>
      </c>
      <c r="W19" s="1">
        <f t="shared" si="38"/>
        <v>2893386.5548</v>
      </c>
      <c r="X19" s="1">
        <f t="shared" si="38"/>
        <v>2893386.5548</v>
      </c>
      <c r="Y19" s="1">
        <f t="shared" si="38"/>
        <v>2893386.5548</v>
      </c>
      <c r="Z19" s="1">
        <f t="shared" si="38"/>
        <v>2980188.1514440002</v>
      </c>
      <c r="AA19" s="1">
        <f t="shared" si="38"/>
        <v>2980188.1514440002</v>
      </c>
      <c r="AB19" s="1">
        <f t="shared" si="38"/>
        <v>2980188.1514440002</v>
      </c>
      <c r="AC19" s="1">
        <f t="shared" si="38"/>
        <v>2980188.1514440002</v>
      </c>
      <c r="AD19" s="1">
        <f t="shared" si="38"/>
        <v>2980188.1514440002</v>
      </c>
      <c r="AE19" s="1">
        <f t="shared" si="38"/>
        <v>2980188.1514440002</v>
      </c>
      <c r="AF19" s="1">
        <f t="shared" si="38"/>
        <v>2980188.1514440002</v>
      </c>
      <c r="AG19" s="1">
        <f t="shared" si="38"/>
        <v>2980188.1514440002</v>
      </c>
      <c r="AH19" s="1">
        <f t="shared" si="38"/>
        <v>2980188.1514440002</v>
      </c>
      <c r="AI19" s="1">
        <f t="shared" si="38"/>
        <v>2980188.1514440002</v>
      </c>
      <c r="AJ19" s="1">
        <f t="shared" si="38"/>
        <v>2980188.1514440002</v>
      </c>
      <c r="AK19" s="1">
        <f t="shared" si="38"/>
        <v>2980188.1514440002</v>
      </c>
      <c r="AL19" s="1">
        <f t="shared" si="38"/>
        <v>3069593.7959873201</v>
      </c>
      <c r="AM19" s="1">
        <f t="shared" ref="AM19:BR19" si="39">+(IF($A19="","",IF($D19&gt;MONTH(AM$16)-MONTH(InicioFuncion)+12*(YEAR(AM$16)-YEAR(InicioFuncion))+1,0,IF($E19&lt;=(MONTH(AM$16)-MONTH(InicioFuncion)+12*(YEAR(AM$16)-YEAR(InicioFuncion)))-$D19+IF($D19&lt;&gt;"",1,0),0,IF(AM$15&gt;$B$9,0,IF((YEAR($B$8)-YEAR($B$7))*12+(MONTH($B$8)-MONTH($B$7))+$E$14&lt;=AL$14,$C19))))*HLOOKUP(YEAR(AM$16),$E$3:$O$5,3,0)))</f>
        <v>3069593.7959873201</v>
      </c>
      <c r="AN19" s="1">
        <f t="shared" si="39"/>
        <v>3069593.7959873201</v>
      </c>
      <c r="AO19" s="1">
        <f t="shared" si="39"/>
        <v>3069593.7959873201</v>
      </c>
      <c r="AP19" s="1">
        <f t="shared" si="39"/>
        <v>3069593.7959873201</v>
      </c>
      <c r="AQ19" s="1">
        <f t="shared" si="39"/>
        <v>3069593.7959873201</v>
      </c>
      <c r="AR19" s="1">
        <f t="shared" si="39"/>
        <v>3069593.7959873201</v>
      </c>
      <c r="AS19" s="1">
        <f t="shared" si="39"/>
        <v>3069593.7959873201</v>
      </c>
      <c r="AT19" s="1">
        <f t="shared" si="39"/>
        <v>3069593.7959873201</v>
      </c>
      <c r="AU19" s="1">
        <f t="shared" si="39"/>
        <v>3069593.7959873201</v>
      </c>
      <c r="AV19" s="1">
        <f t="shared" si="39"/>
        <v>3069593.7959873201</v>
      </c>
      <c r="AW19" s="1">
        <f t="shared" si="39"/>
        <v>3069593.7959873201</v>
      </c>
      <c r="AX19" s="1">
        <f t="shared" si="39"/>
        <v>3161681.60986694</v>
      </c>
      <c r="AY19" s="1">
        <f t="shared" si="39"/>
        <v>3161681.60986694</v>
      </c>
      <c r="AZ19" s="1">
        <f t="shared" si="39"/>
        <v>3161681.60986694</v>
      </c>
      <c r="BA19" s="1">
        <f t="shared" si="39"/>
        <v>3161681.60986694</v>
      </c>
      <c r="BB19" s="1">
        <f t="shared" si="39"/>
        <v>3161681.60986694</v>
      </c>
      <c r="BC19" s="1">
        <f t="shared" si="39"/>
        <v>3161681.60986694</v>
      </c>
      <c r="BD19" s="1">
        <f t="shared" si="39"/>
        <v>3161681.60986694</v>
      </c>
      <c r="BE19" s="1">
        <f t="shared" si="39"/>
        <v>3161681.60986694</v>
      </c>
      <c r="BF19" s="1">
        <f t="shared" si="39"/>
        <v>3161681.60986694</v>
      </c>
      <c r="BG19" s="1">
        <f t="shared" si="39"/>
        <v>3161681.60986694</v>
      </c>
      <c r="BH19" s="1">
        <f t="shared" si="39"/>
        <v>3161681.60986694</v>
      </c>
      <c r="BI19" s="1">
        <f t="shared" si="39"/>
        <v>3161681.60986694</v>
      </c>
      <c r="BJ19" s="1">
        <f t="shared" si="39"/>
        <v>3256532.0581629481</v>
      </c>
      <c r="BK19" s="1">
        <f t="shared" si="39"/>
        <v>0</v>
      </c>
      <c r="BL19" s="1">
        <f t="shared" si="39"/>
        <v>0</v>
      </c>
      <c r="BM19" s="1">
        <f t="shared" si="39"/>
        <v>0</v>
      </c>
      <c r="BN19" s="1">
        <f t="shared" si="39"/>
        <v>0</v>
      </c>
      <c r="BO19" s="1">
        <f t="shared" si="39"/>
        <v>0</v>
      </c>
      <c r="BP19" s="1">
        <f t="shared" si="39"/>
        <v>0</v>
      </c>
      <c r="BQ19" s="1">
        <f t="shared" si="39"/>
        <v>0</v>
      </c>
      <c r="BR19" s="1">
        <f t="shared" si="39"/>
        <v>0</v>
      </c>
      <c r="BS19" s="1">
        <f t="shared" ref="BS19:CX19" si="40">+(IF($A19="","",IF($D19&gt;MONTH(BS$16)-MONTH(InicioFuncion)+12*(YEAR(BS$16)-YEAR(InicioFuncion))+1,0,IF($E19&lt;=(MONTH(BS$16)-MONTH(InicioFuncion)+12*(YEAR(BS$16)-YEAR(InicioFuncion)))-$D19+IF($D19&lt;&gt;"",1,0),0,IF(BS$15&gt;$B$9,0,IF((YEAR($B$8)-YEAR($B$7))*12+(MONTH($B$8)-MONTH($B$7))+$E$14&lt;=BR$14,$C19))))*HLOOKUP(YEAR(BS$16),$E$3:$O$5,3,0)))</f>
        <v>0</v>
      </c>
      <c r="BT19" s="1">
        <f t="shared" si="40"/>
        <v>0</v>
      </c>
      <c r="BU19" s="1">
        <f t="shared" si="40"/>
        <v>0</v>
      </c>
      <c r="BV19" s="1">
        <f t="shared" si="40"/>
        <v>0</v>
      </c>
      <c r="BW19" s="1">
        <f t="shared" si="40"/>
        <v>0</v>
      </c>
      <c r="BX19" s="1">
        <f t="shared" si="40"/>
        <v>0</v>
      </c>
      <c r="BY19" s="1">
        <f t="shared" si="40"/>
        <v>0</v>
      </c>
      <c r="BZ19" s="1">
        <f t="shared" si="40"/>
        <v>0</v>
      </c>
      <c r="CA19" s="1">
        <f t="shared" si="40"/>
        <v>0</v>
      </c>
      <c r="CB19" s="1">
        <f t="shared" si="40"/>
        <v>0</v>
      </c>
      <c r="CC19" s="1">
        <f t="shared" si="40"/>
        <v>0</v>
      </c>
      <c r="CD19" s="1">
        <f t="shared" si="40"/>
        <v>0</v>
      </c>
      <c r="CE19" s="1">
        <f t="shared" si="40"/>
        <v>0</v>
      </c>
      <c r="CF19" s="1">
        <f t="shared" si="40"/>
        <v>0</v>
      </c>
      <c r="CG19" s="1">
        <f t="shared" si="40"/>
        <v>0</v>
      </c>
      <c r="CH19" s="1">
        <f t="shared" si="40"/>
        <v>0</v>
      </c>
      <c r="CI19" s="1">
        <f t="shared" si="40"/>
        <v>0</v>
      </c>
      <c r="CJ19" s="1">
        <f t="shared" si="40"/>
        <v>0</v>
      </c>
      <c r="CK19" s="1">
        <f t="shared" si="40"/>
        <v>0</v>
      </c>
      <c r="CL19" s="1">
        <f t="shared" si="40"/>
        <v>0</v>
      </c>
      <c r="CM19" s="1">
        <f t="shared" si="40"/>
        <v>0</v>
      </c>
      <c r="CN19" s="1">
        <f t="shared" si="40"/>
        <v>0</v>
      </c>
      <c r="CO19" s="1">
        <f t="shared" si="40"/>
        <v>0</v>
      </c>
      <c r="CP19" s="1">
        <f t="shared" si="40"/>
        <v>0</v>
      </c>
      <c r="CQ19" s="1">
        <f t="shared" si="40"/>
        <v>0</v>
      </c>
      <c r="CR19" s="1">
        <f t="shared" si="40"/>
        <v>0</v>
      </c>
      <c r="CS19" s="1">
        <f t="shared" si="40"/>
        <v>0</v>
      </c>
      <c r="CT19" s="1">
        <f t="shared" si="40"/>
        <v>0</v>
      </c>
      <c r="CU19" s="1">
        <f t="shared" si="40"/>
        <v>0</v>
      </c>
      <c r="CV19" s="1">
        <f t="shared" si="40"/>
        <v>0</v>
      </c>
      <c r="CW19" s="1">
        <f t="shared" si="40"/>
        <v>0</v>
      </c>
      <c r="CX19" s="1">
        <f t="shared" si="40"/>
        <v>0</v>
      </c>
      <c r="CY19" s="1">
        <f t="shared" ref="CY19:DV19" si="41">+(IF($A19="","",IF($D19&gt;MONTH(CY$16)-MONTH(InicioFuncion)+12*(YEAR(CY$16)-YEAR(InicioFuncion))+1,0,IF($E19&lt;=(MONTH(CY$16)-MONTH(InicioFuncion)+12*(YEAR(CY$16)-YEAR(InicioFuncion)))-$D19+IF($D19&lt;&gt;"",1,0),0,IF(CY$15&gt;$B$9,0,IF((YEAR($B$8)-YEAR($B$7))*12+(MONTH($B$8)-MONTH($B$7))+$E$14&lt;=CX$14,$C19))))*HLOOKUP(YEAR(CY$16),$E$3:$O$5,3,0)))</f>
        <v>0</v>
      </c>
      <c r="CZ19" s="1">
        <f t="shared" si="41"/>
        <v>0</v>
      </c>
      <c r="DA19" s="1">
        <f t="shared" si="41"/>
        <v>0</v>
      </c>
      <c r="DB19" s="1">
        <f t="shared" si="41"/>
        <v>0</v>
      </c>
      <c r="DC19" s="1">
        <f t="shared" si="41"/>
        <v>0</v>
      </c>
      <c r="DD19" s="1">
        <f t="shared" si="41"/>
        <v>0</v>
      </c>
      <c r="DE19" s="1">
        <f t="shared" si="41"/>
        <v>0</v>
      </c>
      <c r="DF19" s="1">
        <f t="shared" si="41"/>
        <v>0</v>
      </c>
      <c r="DG19" s="1">
        <f t="shared" si="41"/>
        <v>0</v>
      </c>
      <c r="DH19" s="1">
        <f t="shared" si="41"/>
        <v>0</v>
      </c>
      <c r="DI19" s="1">
        <f t="shared" si="41"/>
        <v>0</v>
      </c>
      <c r="DJ19" s="1">
        <f t="shared" si="41"/>
        <v>0</v>
      </c>
      <c r="DK19" s="1">
        <f t="shared" si="41"/>
        <v>0</v>
      </c>
      <c r="DL19" s="1">
        <f t="shared" si="41"/>
        <v>0</v>
      </c>
      <c r="DM19" s="1">
        <f t="shared" si="41"/>
        <v>0</v>
      </c>
      <c r="DN19" s="1">
        <f t="shared" si="41"/>
        <v>0</v>
      </c>
      <c r="DO19" s="1">
        <f t="shared" si="41"/>
        <v>0</v>
      </c>
      <c r="DP19" s="1">
        <f t="shared" si="41"/>
        <v>0</v>
      </c>
      <c r="DQ19" s="1">
        <f t="shared" si="41"/>
        <v>0</v>
      </c>
      <c r="DR19" s="1">
        <f t="shared" si="41"/>
        <v>0</v>
      </c>
      <c r="DS19" s="1">
        <f t="shared" si="41"/>
        <v>0</v>
      </c>
      <c r="DT19" s="1">
        <f t="shared" si="41"/>
        <v>0</v>
      </c>
      <c r="DU19" s="1">
        <f t="shared" si="41"/>
        <v>0</v>
      </c>
      <c r="DV19" s="1">
        <f t="shared" si="41"/>
        <v>0</v>
      </c>
    </row>
    <row r="20" spans="1:126" x14ac:dyDescent="0.25">
      <c r="A20" s="26" t="s">
        <v>309</v>
      </c>
      <c r="B20" s="36">
        <f>+SUMIFS(ValoresMercado,Conceptos,A20,Relacion,TmcBw,RangoSectorEnodeb,SectorEnodeb)</f>
        <v>76824981.915378869</v>
      </c>
      <c r="C20" s="26"/>
      <c r="D20" s="35"/>
      <c r="E20" s="35">
        <f t="shared" si="37"/>
        <v>56</v>
      </c>
      <c r="F20" s="1">
        <f t="shared" ref="F20:F26" si="42">+IF($A20="","",IF($D20=F$15,$B20+IF(MONTH($B$8)-MONTH($B$7)+$E$14=E$14,$C20,0),0))</f>
        <v>76824981.915378869</v>
      </c>
      <c r="G20" s="1">
        <f t="shared" ref="G20:BR22" si="43">+IF($A20="","",IF($D20=G$15,$B20+IF(MONTH($B$8)-MONTH($B$7)+$E$14=F$14,$C20,0),0))</f>
        <v>0</v>
      </c>
      <c r="H20" s="1">
        <f t="shared" si="43"/>
        <v>0</v>
      </c>
      <c r="I20" s="1">
        <f t="shared" si="43"/>
        <v>0</v>
      </c>
      <c r="J20" s="1">
        <f t="shared" si="43"/>
        <v>0</v>
      </c>
      <c r="K20" s="1">
        <f t="shared" si="43"/>
        <v>0</v>
      </c>
      <c r="L20" s="1">
        <f t="shared" si="43"/>
        <v>0</v>
      </c>
      <c r="M20" s="1">
        <f t="shared" si="43"/>
        <v>0</v>
      </c>
      <c r="N20" s="1">
        <f t="shared" si="43"/>
        <v>0</v>
      </c>
      <c r="O20" s="1">
        <f t="shared" si="43"/>
        <v>0</v>
      </c>
      <c r="P20" s="1">
        <f t="shared" si="43"/>
        <v>0</v>
      </c>
      <c r="Q20" s="1">
        <f t="shared" si="43"/>
        <v>0</v>
      </c>
      <c r="R20" s="1">
        <f t="shared" si="43"/>
        <v>0</v>
      </c>
      <c r="S20" s="1">
        <f t="shared" si="43"/>
        <v>0</v>
      </c>
      <c r="T20" s="1">
        <f t="shared" si="43"/>
        <v>0</v>
      </c>
      <c r="U20" s="1">
        <f t="shared" si="43"/>
        <v>0</v>
      </c>
      <c r="V20" s="1">
        <f t="shared" si="43"/>
        <v>0</v>
      </c>
      <c r="W20" s="1">
        <f t="shared" si="43"/>
        <v>0</v>
      </c>
      <c r="X20" s="1">
        <f t="shared" si="43"/>
        <v>0</v>
      </c>
      <c r="Y20" s="1">
        <f t="shared" si="43"/>
        <v>0</v>
      </c>
      <c r="Z20" s="1">
        <f t="shared" si="43"/>
        <v>0</v>
      </c>
      <c r="AA20" s="1">
        <f t="shared" si="43"/>
        <v>0</v>
      </c>
      <c r="AB20" s="1">
        <f t="shared" si="43"/>
        <v>0</v>
      </c>
      <c r="AC20" s="1">
        <f t="shared" si="43"/>
        <v>0</v>
      </c>
      <c r="AD20" s="1">
        <f t="shared" si="43"/>
        <v>0</v>
      </c>
      <c r="AE20" s="1">
        <f t="shared" si="43"/>
        <v>0</v>
      </c>
      <c r="AF20" s="1">
        <f t="shared" si="43"/>
        <v>0</v>
      </c>
      <c r="AG20" s="1">
        <f t="shared" si="43"/>
        <v>0</v>
      </c>
      <c r="AH20" s="1">
        <f t="shared" si="43"/>
        <v>0</v>
      </c>
      <c r="AI20" s="1">
        <f t="shared" si="43"/>
        <v>0</v>
      </c>
      <c r="AJ20" s="1">
        <f t="shared" si="43"/>
        <v>0</v>
      </c>
      <c r="AK20" s="1">
        <f t="shared" si="43"/>
        <v>0</v>
      </c>
      <c r="AL20" s="1">
        <f t="shared" si="43"/>
        <v>0</v>
      </c>
      <c r="AM20" s="1">
        <f t="shared" si="43"/>
        <v>0</v>
      </c>
      <c r="AN20" s="1">
        <f t="shared" si="43"/>
        <v>0</v>
      </c>
      <c r="AO20" s="1">
        <f t="shared" si="43"/>
        <v>0</v>
      </c>
      <c r="AP20" s="1">
        <f t="shared" si="43"/>
        <v>0</v>
      </c>
      <c r="AQ20" s="1">
        <f t="shared" si="43"/>
        <v>0</v>
      </c>
      <c r="AR20" s="1">
        <f t="shared" si="43"/>
        <v>0</v>
      </c>
      <c r="AS20" s="1">
        <f t="shared" si="43"/>
        <v>0</v>
      </c>
      <c r="AT20" s="1">
        <f t="shared" si="43"/>
        <v>0</v>
      </c>
      <c r="AU20" s="1">
        <f t="shared" si="43"/>
        <v>0</v>
      </c>
      <c r="AV20" s="1">
        <f t="shared" si="43"/>
        <v>0</v>
      </c>
      <c r="AW20" s="1">
        <f t="shared" si="43"/>
        <v>0</v>
      </c>
      <c r="AX20" s="1">
        <f t="shared" si="43"/>
        <v>0</v>
      </c>
      <c r="AY20" s="1">
        <f t="shared" si="43"/>
        <v>0</v>
      </c>
      <c r="AZ20" s="1">
        <f t="shared" si="43"/>
        <v>0</v>
      </c>
      <c r="BA20" s="1">
        <f t="shared" si="43"/>
        <v>0</v>
      </c>
      <c r="BB20" s="1">
        <f t="shared" si="43"/>
        <v>0</v>
      </c>
      <c r="BC20" s="1">
        <f t="shared" si="43"/>
        <v>0</v>
      </c>
      <c r="BD20" s="1">
        <f t="shared" si="43"/>
        <v>0</v>
      </c>
      <c r="BE20" s="1">
        <f t="shared" si="43"/>
        <v>0</v>
      </c>
      <c r="BF20" s="1">
        <f t="shared" si="43"/>
        <v>0</v>
      </c>
      <c r="BG20" s="1">
        <f t="shared" si="43"/>
        <v>0</v>
      </c>
      <c r="BH20" s="1">
        <f t="shared" si="43"/>
        <v>0</v>
      </c>
      <c r="BI20" s="1">
        <f t="shared" si="43"/>
        <v>0</v>
      </c>
      <c r="BJ20" s="1">
        <f t="shared" si="43"/>
        <v>0</v>
      </c>
      <c r="BK20" s="1">
        <f t="shared" si="43"/>
        <v>0</v>
      </c>
      <c r="BL20" s="1">
        <f t="shared" si="43"/>
        <v>0</v>
      </c>
      <c r="BM20" s="1">
        <f t="shared" si="43"/>
        <v>0</v>
      </c>
      <c r="BN20" s="1">
        <f t="shared" si="43"/>
        <v>0</v>
      </c>
      <c r="BO20" s="1">
        <f t="shared" si="43"/>
        <v>0</v>
      </c>
      <c r="BP20" s="1">
        <f t="shared" si="43"/>
        <v>0</v>
      </c>
      <c r="BQ20" s="1">
        <f t="shared" si="43"/>
        <v>0</v>
      </c>
      <c r="BR20" s="1">
        <f t="shared" si="43"/>
        <v>0</v>
      </c>
      <c r="BS20" s="1">
        <f t="shared" ref="BS20:DV23" si="44">+IF($A20="","",IF($D20=BS$15,$B20+IF(MONTH($B$8)-MONTH($B$7)+$E$14=BR$14,$C20,0),0))</f>
        <v>0</v>
      </c>
      <c r="BT20" s="1">
        <f t="shared" si="44"/>
        <v>0</v>
      </c>
      <c r="BU20" s="1">
        <f t="shared" si="44"/>
        <v>0</v>
      </c>
      <c r="BV20" s="1">
        <f t="shared" si="44"/>
        <v>0</v>
      </c>
      <c r="BW20" s="1">
        <f t="shared" si="44"/>
        <v>0</v>
      </c>
      <c r="BX20" s="1">
        <f t="shared" si="44"/>
        <v>0</v>
      </c>
      <c r="BY20" s="1">
        <f t="shared" si="44"/>
        <v>0</v>
      </c>
      <c r="BZ20" s="1">
        <f t="shared" si="44"/>
        <v>0</v>
      </c>
      <c r="CA20" s="1">
        <f t="shared" si="44"/>
        <v>0</v>
      </c>
      <c r="CB20" s="1">
        <f t="shared" si="44"/>
        <v>0</v>
      </c>
      <c r="CC20" s="1">
        <f t="shared" si="44"/>
        <v>0</v>
      </c>
      <c r="CD20" s="1">
        <f t="shared" si="44"/>
        <v>0</v>
      </c>
      <c r="CE20" s="1">
        <f t="shared" si="44"/>
        <v>0</v>
      </c>
      <c r="CF20" s="1">
        <f t="shared" si="44"/>
        <v>0</v>
      </c>
      <c r="CG20" s="1">
        <f t="shared" si="44"/>
        <v>0</v>
      </c>
      <c r="CH20" s="1">
        <f t="shared" si="44"/>
        <v>0</v>
      </c>
      <c r="CI20" s="1">
        <f t="shared" si="44"/>
        <v>0</v>
      </c>
      <c r="CJ20" s="1">
        <f t="shared" si="44"/>
        <v>0</v>
      </c>
      <c r="CK20" s="1">
        <f t="shared" si="44"/>
        <v>0</v>
      </c>
      <c r="CL20" s="1">
        <f t="shared" si="44"/>
        <v>0</v>
      </c>
      <c r="CM20" s="1">
        <f t="shared" si="44"/>
        <v>0</v>
      </c>
      <c r="CN20" s="1">
        <f t="shared" si="44"/>
        <v>0</v>
      </c>
      <c r="CO20" s="1">
        <f t="shared" si="44"/>
        <v>0</v>
      </c>
      <c r="CP20" s="1">
        <f t="shared" si="44"/>
        <v>0</v>
      </c>
      <c r="CQ20" s="1">
        <f t="shared" si="44"/>
        <v>0</v>
      </c>
      <c r="CR20" s="1">
        <f t="shared" si="44"/>
        <v>0</v>
      </c>
      <c r="CS20" s="1">
        <f t="shared" si="44"/>
        <v>0</v>
      </c>
      <c r="CT20" s="1">
        <f t="shared" si="44"/>
        <v>0</v>
      </c>
      <c r="CU20" s="1">
        <f t="shared" si="44"/>
        <v>0</v>
      </c>
      <c r="CV20" s="1">
        <f t="shared" si="44"/>
        <v>0</v>
      </c>
      <c r="CW20" s="1">
        <f t="shared" si="44"/>
        <v>0</v>
      </c>
      <c r="CX20" s="1">
        <f t="shared" si="44"/>
        <v>0</v>
      </c>
      <c r="CY20" s="1">
        <f t="shared" si="44"/>
        <v>0</v>
      </c>
      <c r="CZ20" s="1">
        <f t="shared" si="44"/>
        <v>0</v>
      </c>
      <c r="DA20" s="1">
        <f t="shared" si="44"/>
        <v>0</v>
      </c>
      <c r="DB20" s="1">
        <f t="shared" si="44"/>
        <v>0</v>
      </c>
      <c r="DC20" s="1">
        <f t="shared" si="44"/>
        <v>0</v>
      </c>
      <c r="DD20" s="1">
        <f t="shared" si="44"/>
        <v>0</v>
      </c>
      <c r="DE20" s="1">
        <f t="shared" si="44"/>
        <v>0</v>
      </c>
      <c r="DF20" s="1">
        <f t="shared" si="44"/>
        <v>0</v>
      </c>
      <c r="DG20" s="1">
        <f t="shared" si="44"/>
        <v>0</v>
      </c>
      <c r="DH20" s="1">
        <f t="shared" si="44"/>
        <v>0</v>
      </c>
      <c r="DI20" s="1">
        <f t="shared" si="44"/>
        <v>0</v>
      </c>
      <c r="DJ20" s="1">
        <f t="shared" si="44"/>
        <v>0</v>
      </c>
      <c r="DK20" s="1">
        <f t="shared" si="44"/>
        <v>0</v>
      </c>
      <c r="DL20" s="1">
        <f t="shared" si="44"/>
        <v>0</v>
      </c>
      <c r="DM20" s="1">
        <f t="shared" si="44"/>
        <v>0</v>
      </c>
      <c r="DN20" s="1">
        <f t="shared" si="44"/>
        <v>0</v>
      </c>
      <c r="DO20" s="1">
        <f t="shared" si="44"/>
        <v>0</v>
      </c>
      <c r="DP20" s="1">
        <f t="shared" si="44"/>
        <v>0</v>
      </c>
      <c r="DQ20" s="1">
        <f t="shared" si="44"/>
        <v>0</v>
      </c>
      <c r="DR20" s="1">
        <f t="shared" si="44"/>
        <v>0</v>
      </c>
      <c r="DS20" s="1">
        <f t="shared" si="44"/>
        <v>0</v>
      </c>
      <c r="DT20" s="1">
        <f t="shared" si="44"/>
        <v>0</v>
      </c>
      <c r="DU20" s="1">
        <f t="shared" si="44"/>
        <v>0</v>
      </c>
      <c r="DV20" s="1">
        <f t="shared" si="44"/>
        <v>0</v>
      </c>
    </row>
    <row r="21" spans="1:126" x14ac:dyDescent="0.25">
      <c r="A21" s="29" t="s">
        <v>228</v>
      </c>
      <c r="B21" s="36">
        <f>+SUMIFS(ValoresMercado,Conceptos,A21,Relacion,DiametroAntenaMts)</f>
        <v>5501720</v>
      </c>
      <c r="C21" s="26"/>
      <c r="D21" s="35"/>
      <c r="E21" s="35">
        <f t="shared" si="37"/>
        <v>56</v>
      </c>
      <c r="F21" s="1">
        <f t="shared" si="42"/>
        <v>5501720</v>
      </c>
      <c r="G21" s="1">
        <f t="shared" si="43"/>
        <v>0</v>
      </c>
      <c r="H21" s="1">
        <f t="shared" si="43"/>
        <v>0</v>
      </c>
      <c r="I21" s="1">
        <f t="shared" si="43"/>
        <v>0</v>
      </c>
      <c r="J21" s="1">
        <f t="shared" si="43"/>
        <v>0</v>
      </c>
      <c r="K21" s="1">
        <f t="shared" si="43"/>
        <v>0</v>
      </c>
      <c r="L21" s="1">
        <f t="shared" si="43"/>
        <v>0</v>
      </c>
      <c r="M21" s="1">
        <f t="shared" si="43"/>
        <v>0</v>
      </c>
      <c r="N21" s="1">
        <f t="shared" si="43"/>
        <v>0</v>
      </c>
      <c r="O21" s="1">
        <f t="shared" si="43"/>
        <v>0</v>
      </c>
      <c r="P21" s="1">
        <f t="shared" si="43"/>
        <v>0</v>
      </c>
      <c r="Q21" s="1">
        <f t="shared" si="43"/>
        <v>0</v>
      </c>
      <c r="R21" s="1">
        <f t="shared" si="43"/>
        <v>0</v>
      </c>
      <c r="S21" s="1">
        <f t="shared" si="43"/>
        <v>0</v>
      </c>
      <c r="T21" s="1">
        <f t="shared" si="43"/>
        <v>0</v>
      </c>
      <c r="U21" s="1">
        <f t="shared" si="43"/>
        <v>0</v>
      </c>
      <c r="V21" s="1">
        <f t="shared" si="43"/>
        <v>0</v>
      </c>
      <c r="W21" s="1">
        <f t="shared" si="43"/>
        <v>0</v>
      </c>
      <c r="X21" s="1">
        <f t="shared" si="43"/>
        <v>0</v>
      </c>
      <c r="Y21" s="1">
        <f t="shared" si="43"/>
        <v>0</v>
      </c>
      <c r="Z21" s="1">
        <f t="shared" si="43"/>
        <v>0</v>
      </c>
      <c r="AA21" s="1">
        <f t="shared" si="43"/>
        <v>0</v>
      </c>
      <c r="AB21" s="1">
        <f t="shared" si="43"/>
        <v>0</v>
      </c>
      <c r="AC21" s="1">
        <f t="shared" si="43"/>
        <v>0</v>
      </c>
      <c r="AD21" s="1">
        <f t="shared" si="43"/>
        <v>0</v>
      </c>
      <c r="AE21" s="1">
        <f t="shared" si="43"/>
        <v>0</v>
      </c>
      <c r="AF21" s="1">
        <f t="shared" si="43"/>
        <v>0</v>
      </c>
      <c r="AG21" s="1">
        <f t="shared" si="43"/>
        <v>0</v>
      </c>
      <c r="AH21" s="1">
        <f t="shared" si="43"/>
        <v>0</v>
      </c>
      <c r="AI21" s="1">
        <f t="shared" si="43"/>
        <v>0</v>
      </c>
      <c r="AJ21" s="1">
        <f t="shared" si="43"/>
        <v>0</v>
      </c>
      <c r="AK21" s="1">
        <f t="shared" si="43"/>
        <v>0</v>
      </c>
      <c r="AL21" s="1">
        <f t="shared" si="43"/>
        <v>0</v>
      </c>
      <c r="AM21" s="1">
        <f t="shared" si="43"/>
        <v>0</v>
      </c>
      <c r="AN21" s="1">
        <f t="shared" si="43"/>
        <v>0</v>
      </c>
      <c r="AO21" s="1">
        <f t="shared" si="43"/>
        <v>0</v>
      </c>
      <c r="AP21" s="1">
        <f t="shared" si="43"/>
        <v>0</v>
      </c>
      <c r="AQ21" s="1">
        <f t="shared" si="43"/>
        <v>0</v>
      </c>
      <c r="AR21" s="1">
        <f t="shared" si="43"/>
        <v>0</v>
      </c>
      <c r="AS21" s="1">
        <f t="shared" si="43"/>
        <v>0</v>
      </c>
      <c r="AT21" s="1">
        <f t="shared" si="43"/>
        <v>0</v>
      </c>
      <c r="AU21" s="1">
        <f t="shared" si="43"/>
        <v>0</v>
      </c>
      <c r="AV21" s="1">
        <f t="shared" si="43"/>
        <v>0</v>
      </c>
      <c r="AW21" s="1">
        <f t="shared" si="43"/>
        <v>0</v>
      </c>
      <c r="AX21" s="1">
        <f t="shared" si="43"/>
        <v>0</v>
      </c>
      <c r="AY21" s="1">
        <f t="shared" si="43"/>
        <v>0</v>
      </c>
      <c r="AZ21" s="1">
        <f t="shared" si="43"/>
        <v>0</v>
      </c>
      <c r="BA21" s="1">
        <f t="shared" si="43"/>
        <v>0</v>
      </c>
      <c r="BB21" s="1">
        <f t="shared" si="43"/>
        <v>0</v>
      </c>
      <c r="BC21" s="1">
        <f t="shared" si="43"/>
        <v>0</v>
      </c>
      <c r="BD21" s="1">
        <f t="shared" si="43"/>
        <v>0</v>
      </c>
      <c r="BE21" s="1">
        <f t="shared" si="43"/>
        <v>0</v>
      </c>
      <c r="BF21" s="1">
        <f t="shared" si="43"/>
        <v>0</v>
      </c>
      <c r="BG21" s="1">
        <f t="shared" si="43"/>
        <v>0</v>
      </c>
      <c r="BH21" s="1">
        <f t="shared" si="43"/>
        <v>0</v>
      </c>
      <c r="BI21" s="1">
        <f t="shared" si="43"/>
        <v>0</v>
      </c>
      <c r="BJ21" s="1">
        <f t="shared" si="43"/>
        <v>0</v>
      </c>
      <c r="BK21" s="1">
        <f t="shared" si="43"/>
        <v>0</v>
      </c>
      <c r="BL21" s="1">
        <f t="shared" si="43"/>
        <v>0</v>
      </c>
      <c r="BM21" s="1">
        <f t="shared" si="43"/>
        <v>0</v>
      </c>
      <c r="BN21" s="1">
        <f t="shared" si="43"/>
        <v>0</v>
      </c>
      <c r="BO21" s="1">
        <f t="shared" si="43"/>
        <v>0</v>
      </c>
      <c r="BP21" s="1">
        <f t="shared" si="43"/>
        <v>0</v>
      </c>
      <c r="BQ21" s="1">
        <f t="shared" si="43"/>
        <v>0</v>
      </c>
      <c r="BR21" s="1">
        <f t="shared" si="43"/>
        <v>0</v>
      </c>
      <c r="BS21" s="1">
        <f t="shared" si="44"/>
        <v>0</v>
      </c>
      <c r="BT21" s="1">
        <f t="shared" si="44"/>
        <v>0</v>
      </c>
      <c r="BU21" s="1">
        <f t="shared" si="44"/>
        <v>0</v>
      </c>
      <c r="BV21" s="1">
        <f t="shared" si="44"/>
        <v>0</v>
      </c>
      <c r="BW21" s="1">
        <f t="shared" si="44"/>
        <v>0</v>
      </c>
      <c r="BX21" s="1">
        <f t="shared" si="44"/>
        <v>0</v>
      </c>
      <c r="BY21" s="1">
        <f t="shared" si="44"/>
        <v>0</v>
      </c>
      <c r="BZ21" s="1">
        <f t="shared" si="44"/>
        <v>0</v>
      </c>
      <c r="CA21" s="1">
        <f t="shared" si="44"/>
        <v>0</v>
      </c>
      <c r="CB21" s="1">
        <f t="shared" si="44"/>
        <v>0</v>
      </c>
      <c r="CC21" s="1">
        <f t="shared" si="44"/>
        <v>0</v>
      </c>
      <c r="CD21" s="1">
        <f t="shared" si="44"/>
        <v>0</v>
      </c>
      <c r="CE21" s="1">
        <f t="shared" si="44"/>
        <v>0</v>
      </c>
      <c r="CF21" s="1">
        <f t="shared" si="44"/>
        <v>0</v>
      </c>
      <c r="CG21" s="1">
        <f t="shared" si="44"/>
        <v>0</v>
      </c>
      <c r="CH21" s="1">
        <f t="shared" si="44"/>
        <v>0</v>
      </c>
      <c r="CI21" s="1">
        <f t="shared" si="44"/>
        <v>0</v>
      </c>
      <c r="CJ21" s="1">
        <f t="shared" si="44"/>
        <v>0</v>
      </c>
      <c r="CK21" s="1">
        <f t="shared" si="44"/>
        <v>0</v>
      </c>
      <c r="CL21" s="1">
        <f t="shared" si="44"/>
        <v>0</v>
      </c>
      <c r="CM21" s="1">
        <f t="shared" si="44"/>
        <v>0</v>
      </c>
      <c r="CN21" s="1">
        <f t="shared" si="44"/>
        <v>0</v>
      </c>
      <c r="CO21" s="1">
        <f t="shared" si="44"/>
        <v>0</v>
      </c>
      <c r="CP21" s="1">
        <f t="shared" si="44"/>
        <v>0</v>
      </c>
      <c r="CQ21" s="1">
        <f t="shared" si="44"/>
        <v>0</v>
      </c>
      <c r="CR21" s="1">
        <f t="shared" si="44"/>
        <v>0</v>
      </c>
      <c r="CS21" s="1">
        <f t="shared" si="44"/>
        <v>0</v>
      </c>
      <c r="CT21" s="1">
        <f t="shared" si="44"/>
        <v>0</v>
      </c>
      <c r="CU21" s="1">
        <f t="shared" si="44"/>
        <v>0</v>
      </c>
      <c r="CV21" s="1">
        <f t="shared" si="44"/>
        <v>0</v>
      </c>
      <c r="CW21" s="1">
        <f t="shared" si="44"/>
        <v>0</v>
      </c>
      <c r="CX21" s="1">
        <f t="shared" si="44"/>
        <v>0</v>
      </c>
      <c r="CY21" s="1">
        <f t="shared" si="44"/>
        <v>0</v>
      </c>
      <c r="CZ21" s="1">
        <f t="shared" si="44"/>
        <v>0</v>
      </c>
      <c r="DA21" s="1">
        <f t="shared" si="44"/>
        <v>0</v>
      </c>
      <c r="DB21" s="1">
        <f t="shared" si="44"/>
        <v>0</v>
      </c>
      <c r="DC21" s="1">
        <f t="shared" si="44"/>
        <v>0</v>
      </c>
      <c r="DD21" s="1">
        <f t="shared" si="44"/>
        <v>0</v>
      </c>
      <c r="DE21" s="1">
        <f t="shared" si="44"/>
        <v>0</v>
      </c>
      <c r="DF21" s="1">
        <f t="shared" si="44"/>
        <v>0</v>
      </c>
      <c r="DG21" s="1">
        <f t="shared" si="44"/>
        <v>0</v>
      </c>
      <c r="DH21" s="1">
        <f t="shared" si="44"/>
        <v>0</v>
      </c>
      <c r="DI21" s="1">
        <f t="shared" si="44"/>
        <v>0</v>
      </c>
      <c r="DJ21" s="1">
        <f t="shared" si="44"/>
        <v>0</v>
      </c>
      <c r="DK21" s="1">
        <f t="shared" si="44"/>
        <v>0</v>
      </c>
      <c r="DL21" s="1">
        <f t="shared" si="44"/>
        <v>0</v>
      </c>
      <c r="DM21" s="1">
        <f t="shared" si="44"/>
        <v>0</v>
      </c>
      <c r="DN21" s="1">
        <f t="shared" si="44"/>
        <v>0</v>
      </c>
      <c r="DO21" s="1">
        <f t="shared" si="44"/>
        <v>0</v>
      </c>
      <c r="DP21" s="1">
        <f t="shared" si="44"/>
        <v>0</v>
      </c>
      <c r="DQ21" s="1">
        <f t="shared" si="44"/>
        <v>0</v>
      </c>
      <c r="DR21" s="1">
        <f t="shared" si="44"/>
        <v>0</v>
      </c>
      <c r="DS21" s="1">
        <f t="shared" si="44"/>
        <v>0</v>
      </c>
      <c r="DT21" s="1">
        <f t="shared" si="44"/>
        <v>0</v>
      </c>
      <c r="DU21" s="1">
        <f t="shared" si="44"/>
        <v>0</v>
      </c>
      <c r="DV21" s="1">
        <f t="shared" si="44"/>
        <v>0</v>
      </c>
    </row>
    <row r="22" spans="1:126" x14ac:dyDescent="0.25">
      <c r="A22" s="26" t="s">
        <v>229</v>
      </c>
      <c r="B22" s="36">
        <f>+SUMIFS(ValoresMercado,Conceptos,A22,Detalle,MWEquiposHTSB)</f>
        <v>162609440</v>
      </c>
      <c r="C22" s="26"/>
      <c r="D22" s="35"/>
      <c r="E22" s="35">
        <f t="shared" si="37"/>
        <v>56</v>
      </c>
      <c r="F22" s="1">
        <f t="shared" si="42"/>
        <v>162609440</v>
      </c>
      <c r="G22" s="1">
        <f t="shared" si="43"/>
        <v>0</v>
      </c>
      <c r="H22" s="1">
        <f t="shared" si="43"/>
        <v>0</v>
      </c>
      <c r="I22" s="1">
        <f t="shared" si="43"/>
        <v>0</v>
      </c>
      <c r="J22" s="1">
        <f t="shared" si="43"/>
        <v>0</v>
      </c>
      <c r="K22" s="1">
        <f t="shared" si="43"/>
        <v>0</v>
      </c>
      <c r="L22" s="1">
        <f t="shared" si="43"/>
        <v>0</v>
      </c>
      <c r="M22" s="1">
        <f t="shared" si="43"/>
        <v>0</v>
      </c>
      <c r="N22" s="1">
        <f t="shared" si="43"/>
        <v>0</v>
      </c>
      <c r="O22" s="1">
        <f t="shared" si="43"/>
        <v>0</v>
      </c>
      <c r="P22" s="1">
        <f t="shared" si="43"/>
        <v>0</v>
      </c>
      <c r="Q22" s="1">
        <f t="shared" si="43"/>
        <v>0</v>
      </c>
      <c r="R22" s="1">
        <f t="shared" si="43"/>
        <v>0</v>
      </c>
      <c r="S22" s="1">
        <f t="shared" si="43"/>
        <v>0</v>
      </c>
      <c r="T22" s="1">
        <f t="shared" si="43"/>
        <v>0</v>
      </c>
      <c r="U22" s="1">
        <f t="shared" si="43"/>
        <v>0</v>
      </c>
      <c r="V22" s="1">
        <f t="shared" si="43"/>
        <v>0</v>
      </c>
      <c r="W22" s="1">
        <f t="shared" si="43"/>
        <v>0</v>
      </c>
      <c r="X22" s="1">
        <f t="shared" si="43"/>
        <v>0</v>
      </c>
      <c r="Y22" s="1">
        <f t="shared" si="43"/>
        <v>0</v>
      </c>
      <c r="Z22" s="1">
        <f t="shared" si="43"/>
        <v>0</v>
      </c>
      <c r="AA22" s="1">
        <f t="shared" si="43"/>
        <v>0</v>
      </c>
      <c r="AB22" s="1">
        <f t="shared" si="43"/>
        <v>0</v>
      </c>
      <c r="AC22" s="1">
        <f t="shared" si="43"/>
        <v>0</v>
      </c>
      <c r="AD22" s="1">
        <f t="shared" si="43"/>
        <v>0</v>
      </c>
      <c r="AE22" s="1">
        <f t="shared" si="43"/>
        <v>0</v>
      </c>
      <c r="AF22" s="1">
        <f t="shared" si="43"/>
        <v>0</v>
      </c>
      <c r="AG22" s="1">
        <f t="shared" si="43"/>
        <v>0</v>
      </c>
      <c r="AH22" s="1">
        <f t="shared" si="43"/>
        <v>0</v>
      </c>
      <c r="AI22" s="1">
        <f t="shared" si="43"/>
        <v>0</v>
      </c>
      <c r="AJ22" s="1">
        <f t="shared" si="43"/>
        <v>0</v>
      </c>
      <c r="AK22" s="1">
        <f t="shared" si="43"/>
        <v>0</v>
      </c>
      <c r="AL22" s="1">
        <f t="shared" si="43"/>
        <v>0</v>
      </c>
      <c r="AM22" s="1">
        <f t="shared" si="43"/>
        <v>0</v>
      </c>
      <c r="AN22" s="1">
        <f t="shared" si="43"/>
        <v>0</v>
      </c>
      <c r="AO22" s="1">
        <f t="shared" si="43"/>
        <v>0</v>
      </c>
      <c r="AP22" s="1">
        <f t="shared" si="43"/>
        <v>0</v>
      </c>
      <c r="AQ22" s="1">
        <f t="shared" si="43"/>
        <v>0</v>
      </c>
      <c r="AR22" s="1">
        <f t="shared" si="43"/>
        <v>0</v>
      </c>
      <c r="AS22" s="1">
        <f t="shared" si="43"/>
        <v>0</v>
      </c>
      <c r="AT22" s="1">
        <f t="shared" si="43"/>
        <v>0</v>
      </c>
      <c r="AU22" s="1">
        <f t="shared" si="43"/>
        <v>0</v>
      </c>
      <c r="AV22" s="1">
        <f t="shared" si="43"/>
        <v>0</v>
      </c>
      <c r="AW22" s="1">
        <f t="shared" si="43"/>
        <v>0</v>
      </c>
      <c r="AX22" s="1">
        <f t="shared" si="43"/>
        <v>0</v>
      </c>
      <c r="AY22" s="1">
        <f t="shared" si="43"/>
        <v>0</v>
      </c>
      <c r="AZ22" s="1">
        <f t="shared" si="43"/>
        <v>0</v>
      </c>
      <c r="BA22" s="1">
        <f t="shared" si="43"/>
        <v>0</v>
      </c>
      <c r="BB22" s="1">
        <f t="shared" si="43"/>
        <v>0</v>
      </c>
      <c r="BC22" s="1">
        <f t="shared" si="43"/>
        <v>0</v>
      </c>
      <c r="BD22" s="1">
        <f t="shared" si="43"/>
        <v>0</v>
      </c>
      <c r="BE22" s="1">
        <f t="shared" si="43"/>
        <v>0</v>
      </c>
      <c r="BF22" s="1">
        <f t="shared" si="43"/>
        <v>0</v>
      </c>
      <c r="BG22" s="1">
        <f t="shared" si="43"/>
        <v>0</v>
      </c>
      <c r="BH22" s="1">
        <f t="shared" si="43"/>
        <v>0</v>
      </c>
      <c r="BI22" s="1">
        <f t="shared" si="43"/>
        <v>0</v>
      </c>
      <c r="BJ22" s="1">
        <f t="shared" si="43"/>
        <v>0</v>
      </c>
      <c r="BK22" s="1">
        <f t="shared" si="43"/>
        <v>0</v>
      </c>
      <c r="BL22" s="1">
        <f t="shared" si="43"/>
        <v>0</v>
      </c>
      <c r="BM22" s="1">
        <f t="shared" si="43"/>
        <v>0</v>
      </c>
      <c r="BN22" s="1">
        <f t="shared" si="43"/>
        <v>0</v>
      </c>
      <c r="BO22" s="1">
        <f t="shared" si="43"/>
        <v>0</v>
      </c>
      <c r="BP22" s="1">
        <f t="shared" si="43"/>
        <v>0</v>
      </c>
      <c r="BQ22" s="1">
        <f t="shared" si="43"/>
        <v>0</v>
      </c>
      <c r="BR22" s="1">
        <f t="shared" si="43"/>
        <v>0</v>
      </c>
      <c r="BS22" s="1">
        <f t="shared" si="44"/>
        <v>0</v>
      </c>
      <c r="BT22" s="1">
        <f t="shared" si="44"/>
        <v>0</v>
      </c>
      <c r="BU22" s="1">
        <f t="shared" si="44"/>
        <v>0</v>
      </c>
      <c r="BV22" s="1">
        <f t="shared" si="44"/>
        <v>0</v>
      </c>
      <c r="BW22" s="1">
        <f t="shared" si="44"/>
        <v>0</v>
      </c>
      <c r="BX22" s="1">
        <f t="shared" si="44"/>
        <v>0</v>
      </c>
      <c r="BY22" s="1">
        <f t="shared" si="44"/>
        <v>0</v>
      </c>
      <c r="BZ22" s="1">
        <f t="shared" si="44"/>
        <v>0</v>
      </c>
      <c r="CA22" s="1">
        <f t="shared" si="44"/>
        <v>0</v>
      </c>
      <c r="CB22" s="1">
        <f t="shared" si="44"/>
        <v>0</v>
      </c>
      <c r="CC22" s="1">
        <f t="shared" si="44"/>
        <v>0</v>
      </c>
      <c r="CD22" s="1">
        <f t="shared" si="44"/>
        <v>0</v>
      </c>
      <c r="CE22" s="1">
        <f t="shared" si="44"/>
        <v>0</v>
      </c>
      <c r="CF22" s="1">
        <f t="shared" si="44"/>
        <v>0</v>
      </c>
      <c r="CG22" s="1">
        <f t="shared" si="44"/>
        <v>0</v>
      </c>
      <c r="CH22" s="1">
        <f t="shared" si="44"/>
        <v>0</v>
      </c>
      <c r="CI22" s="1">
        <f t="shared" si="44"/>
        <v>0</v>
      </c>
      <c r="CJ22" s="1">
        <f t="shared" si="44"/>
        <v>0</v>
      </c>
      <c r="CK22" s="1">
        <f t="shared" si="44"/>
        <v>0</v>
      </c>
      <c r="CL22" s="1">
        <f t="shared" si="44"/>
        <v>0</v>
      </c>
      <c r="CM22" s="1">
        <f t="shared" si="44"/>
        <v>0</v>
      </c>
      <c r="CN22" s="1">
        <f t="shared" si="44"/>
        <v>0</v>
      </c>
      <c r="CO22" s="1">
        <f t="shared" si="44"/>
        <v>0</v>
      </c>
      <c r="CP22" s="1">
        <f t="shared" si="44"/>
        <v>0</v>
      </c>
      <c r="CQ22" s="1">
        <f t="shared" si="44"/>
        <v>0</v>
      </c>
      <c r="CR22" s="1">
        <f t="shared" si="44"/>
        <v>0</v>
      </c>
      <c r="CS22" s="1">
        <f t="shared" si="44"/>
        <v>0</v>
      </c>
      <c r="CT22" s="1">
        <f t="shared" si="44"/>
        <v>0</v>
      </c>
      <c r="CU22" s="1">
        <f t="shared" si="44"/>
        <v>0</v>
      </c>
      <c r="CV22" s="1">
        <f t="shared" si="44"/>
        <v>0</v>
      </c>
      <c r="CW22" s="1">
        <f t="shared" si="44"/>
        <v>0</v>
      </c>
      <c r="CX22" s="1">
        <f t="shared" si="44"/>
        <v>0</v>
      </c>
      <c r="CY22" s="1">
        <f t="shared" si="44"/>
        <v>0</v>
      </c>
      <c r="CZ22" s="1">
        <f t="shared" si="44"/>
        <v>0</v>
      </c>
      <c r="DA22" s="1">
        <f t="shared" si="44"/>
        <v>0</v>
      </c>
      <c r="DB22" s="1">
        <f t="shared" si="44"/>
        <v>0</v>
      </c>
      <c r="DC22" s="1">
        <f t="shared" si="44"/>
        <v>0</v>
      </c>
      <c r="DD22" s="1">
        <f t="shared" si="44"/>
        <v>0</v>
      </c>
      <c r="DE22" s="1">
        <f t="shared" si="44"/>
        <v>0</v>
      </c>
      <c r="DF22" s="1">
        <f t="shared" si="44"/>
        <v>0</v>
      </c>
      <c r="DG22" s="1">
        <f t="shared" si="44"/>
        <v>0</v>
      </c>
      <c r="DH22" s="1">
        <f t="shared" si="44"/>
        <v>0</v>
      </c>
      <c r="DI22" s="1">
        <f t="shared" si="44"/>
        <v>0</v>
      </c>
      <c r="DJ22" s="1">
        <f t="shared" si="44"/>
        <v>0</v>
      </c>
      <c r="DK22" s="1">
        <f t="shared" si="44"/>
        <v>0</v>
      </c>
      <c r="DL22" s="1">
        <f t="shared" si="44"/>
        <v>0</v>
      </c>
      <c r="DM22" s="1">
        <f t="shared" si="44"/>
        <v>0</v>
      </c>
      <c r="DN22" s="1">
        <f t="shared" si="44"/>
        <v>0</v>
      </c>
      <c r="DO22" s="1">
        <f t="shared" si="44"/>
        <v>0</v>
      </c>
      <c r="DP22" s="1">
        <f t="shared" si="44"/>
        <v>0</v>
      </c>
      <c r="DQ22" s="1">
        <f t="shared" si="44"/>
        <v>0</v>
      </c>
      <c r="DR22" s="1">
        <f t="shared" si="44"/>
        <v>0</v>
      </c>
      <c r="DS22" s="1">
        <f t="shared" si="44"/>
        <v>0</v>
      </c>
      <c r="DT22" s="1">
        <f t="shared" si="44"/>
        <v>0</v>
      </c>
      <c r="DU22" s="1">
        <f t="shared" si="44"/>
        <v>0</v>
      </c>
      <c r="DV22" s="1">
        <f t="shared" si="44"/>
        <v>0</v>
      </c>
    </row>
    <row r="23" spans="1:126" x14ac:dyDescent="0.25">
      <c r="A23" s="26" t="s">
        <v>216</v>
      </c>
      <c r="B23" s="36">
        <f>+SUMIFS(ValoresMercado,Conceptos,A23,Relacion,TmcBw,Tipo,TipoEspecifico)</f>
        <v>14587755.857000001</v>
      </c>
      <c r="C23" s="26"/>
      <c r="D23" s="35"/>
      <c r="E23" s="35">
        <f t="shared" si="37"/>
        <v>56</v>
      </c>
      <c r="F23" s="1">
        <f t="shared" si="42"/>
        <v>14587755.857000001</v>
      </c>
      <c r="G23" s="1">
        <f t="shared" ref="G23:BR25" si="45">+IF($A23="","",IF($D23=G$15,$B23+IF(MONTH($B$8)-MONTH($B$7)+$E$14=F$14,$C23,0),0))</f>
        <v>0</v>
      </c>
      <c r="H23" s="1">
        <f t="shared" si="45"/>
        <v>0</v>
      </c>
      <c r="I23" s="1">
        <f t="shared" si="45"/>
        <v>0</v>
      </c>
      <c r="J23" s="1">
        <f t="shared" si="45"/>
        <v>0</v>
      </c>
      <c r="K23" s="1">
        <f t="shared" si="45"/>
        <v>0</v>
      </c>
      <c r="L23" s="1">
        <f t="shared" si="45"/>
        <v>0</v>
      </c>
      <c r="M23" s="1">
        <f t="shared" si="45"/>
        <v>0</v>
      </c>
      <c r="N23" s="1">
        <f t="shared" si="45"/>
        <v>0</v>
      </c>
      <c r="O23" s="1">
        <f t="shared" si="45"/>
        <v>0</v>
      </c>
      <c r="P23" s="1">
        <f t="shared" si="45"/>
        <v>0</v>
      </c>
      <c r="Q23" s="1">
        <f t="shared" si="45"/>
        <v>0</v>
      </c>
      <c r="R23" s="1">
        <f t="shared" si="45"/>
        <v>0</v>
      </c>
      <c r="S23" s="1">
        <f t="shared" si="45"/>
        <v>0</v>
      </c>
      <c r="T23" s="1">
        <f t="shared" si="45"/>
        <v>0</v>
      </c>
      <c r="U23" s="1">
        <f t="shared" si="45"/>
        <v>0</v>
      </c>
      <c r="V23" s="1">
        <f t="shared" si="45"/>
        <v>0</v>
      </c>
      <c r="W23" s="1">
        <f t="shared" si="45"/>
        <v>0</v>
      </c>
      <c r="X23" s="1">
        <f t="shared" si="45"/>
        <v>0</v>
      </c>
      <c r="Y23" s="1">
        <f t="shared" si="45"/>
        <v>0</v>
      </c>
      <c r="Z23" s="1">
        <f t="shared" si="45"/>
        <v>0</v>
      </c>
      <c r="AA23" s="1">
        <f t="shared" si="45"/>
        <v>0</v>
      </c>
      <c r="AB23" s="1">
        <f t="shared" si="45"/>
        <v>0</v>
      </c>
      <c r="AC23" s="1">
        <f t="shared" si="45"/>
        <v>0</v>
      </c>
      <c r="AD23" s="1">
        <f t="shared" si="45"/>
        <v>0</v>
      </c>
      <c r="AE23" s="1">
        <f t="shared" si="45"/>
        <v>0</v>
      </c>
      <c r="AF23" s="1">
        <f t="shared" si="45"/>
        <v>0</v>
      </c>
      <c r="AG23" s="1">
        <f t="shared" si="45"/>
        <v>0</v>
      </c>
      <c r="AH23" s="1">
        <f t="shared" si="45"/>
        <v>0</v>
      </c>
      <c r="AI23" s="1">
        <f t="shared" si="45"/>
        <v>0</v>
      </c>
      <c r="AJ23" s="1">
        <f t="shared" si="45"/>
        <v>0</v>
      </c>
      <c r="AK23" s="1">
        <f t="shared" si="45"/>
        <v>0</v>
      </c>
      <c r="AL23" s="1">
        <f t="shared" si="45"/>
        <v>0</v>
      </c>
      <c r="AM23" s="1">
        <f t="shared" si="45"/>
        <v>0</v>
      </c>
      <c r="AN23" s="1">
        <f t="shared" si="45"/>
        <v>0</v>
      </c>
      <c r="AO23" s="1">
        <f t="shared" si="45"/>
        <v>0</v>
      </c>
      <c r="AP23" s="1">
        <f t="shared" si="45"/>
        <v>0</v>
      </c>
      <c r="AQ23" s="1">
        <f t="shared" si="45"/>
        <v>0</v>
      </c>
      <c r="AR23" s="1">
        <f t="shared" si="45"/>
        <v>0</v>
      </c>
      <c r="AS23" s="1">
        <f t="shared" si="45"/>
        <v>0</v>
      </c>
      <c r="AT23" s="1">
        <f t="shared" si="45"/>
        <v>0</v>
      </c>
      <c r="AU23" s="1">
        <f t="shared" si="45"/>
        <v>0</v>
      </c>
      <c r="AV23" s="1">
        <f t="shared" si="45"/>
        <v>0</v>
      </c>
      <c r="AW23" s="1">
        <f t="shared" si="45"/>
        <v>0</v>
      </c>
      <c r="AX23" s="1">
        <f t="shared" si="45"/>
        <v>0</v>
      </c>
      <c r="AY23" s="1">
        <f t="shared" si="45"/>
        <v>0</v>
      </c>
      <c r="AZ23" s="1">
        <f t="shared" si="45"/>
        <v>0</v>
      </c>
      <c r="BA23" s="1">
        <f t="shared" si="45"/>
        <v>0</v>
      </c>
      <c r="BB23" s="1">
        <f t="shared" si="45"/>
        <v>0</v>
      </c>
      <c r="BC23" s="1">
        <f t="shared" si="45"/>
        <v>0</v>
      </c>
      <c r="BD23" s="1">
        <f t="shared" si="45"/>
        <v>0</v>
      </c>
      <c r="BE23" s="1">
        <f t="shared" si="45"/>
        <v>0</v>
      </c>
      <c r="BF23" s="1">
        <f t="shared" si="45"/>
        <v>0</v>
      </c>
      <c r="BG23" s="1">
        <f t="shared" si="45"/>
        <v>0</v>
      </c>
      <c r="BH23" s="1">
        <f t="shared" si="45"/>
        <v>0</v>
      </c>
      <c r="BI23" s="1">
        <f t="shared" si="45"/>
        <v>0</v>
      </c>
      <c r="BJ23" s="1">
        <f t="shared" si="45"/>
        <v>0</v>
      </c>
      <c r="BK23" s="1">
        <f t="shared" si="45"/>
        <v>0</v>
      </c>
      <c r="BL23" s="1">
        <f t="shared" si="45"/>
        <v>0</v>
      </c>
      <c r="BM23" s="1">
        <f t="shared" si="45"/>
        <v>0</v>
      </c>
      <c r="BN23" s="1">
        <f t="shared" si="45"/>
        <v>0</v>
      </c>
      <c r="BO23" s="1">
        <f t="shared" si="45"/>
        <v>0</v>
      </c>
      <c r="BP23" s="1">
        <f t="shared" si="45"/>
        <v>0</v>
      </c>
      <c r="BQ23" s="1">
        <f t="shared" si="45"/>
        <v>0</v>
      </c>
      <c r="BR23" s="1">
        <f t="shared" si="45"/>
        <v>0</v>
      </c>
      <c r="BS23" s="1">
        <f t="shared" si="44"/>
        <v>0</v>
      </c>
      <c r="BT23" s="1">
        <f t="shared" si="44"/>
        <v>0</v>
      </c>
      <c r="BU23" s="1">
        <f t="shared" si="44"/>
        <v>0</v>
      </c>
      <c r="BV23" s="1">
        <f t="shared" si="44"/>
        <v>0</v>
      </c>
      <c r="BW23" s="1">
        <f t="shared" si="44"/>
        <v>0</v>
      </c>
      <c r="BX23" s="1">
        <f t="shared" si="44"/>
        <v>0</v>
      </c>
      <c r="BY23" s="1">
        <f t="shared" si="44"/>
        <v>0</v>
      </c>
      <c r="BZ23" s="1">
        <f t="shared" si="44"/>
        <v>0</v>
      </c>
      <c r="CA23" s="1">
        <f t="shared" si="44"/>
        <v>0</v>
      </c>
      <c r="CB23" s="1">
        <f t="shared" si="44"/>
        <v>0</v>
      </c>
      <c r="CC23" s="1">
        <f t="shared" si="44"/>
        <v>0</v>
      </c>
      <c r="CD23" s="1">
        <f t="shared" si="44"/>
        <v>0</v>
      </c>
      <c r="CE23" s="1">
        <f t="shared" si="44"/>
        <v>0</v>
      </c>
      <c r="CF23" s="1">
        <f t="shared" si="44"/>
        <v>0</v>
      </c>
      <c r="CG23" s="1">
        <f t="shared" si="44"/>
        <v>0</v>
      </c>
      <c r="CH23" s="1">
        <f t="shared" si="44"/>
        <v>0</v>
      </c>
      <c r="CI23" s="1">
        <f t="shared" si="44"/>
        <v>0</v>
      </c>
      <c r="CJ23" s="1">
        <f t="shared" si="44"/>
        <v>0</v>
      </c>
      <c r="CK23" s="1">
        <f t="shared" si="44"/>
        <v>0</v>
      </c>
      <c r="CL23" s="1">
        <f t="shared" si="44"/>
        <v>0</v>
      </c>
      <c r="CM23" s="1">
        <f t="shared" si="44"/>
        <v>0</v>
      </c>
      <c r="CN23" s="1">
        <f t="shared" si="44"/>
        <v>0</v>
      </c>
      <c r="CO23" s="1">
        <f t="shared" si="44"/>
        <v>0</v>
      </c>
      <c r="CP23" s="1">
        <f t="shared" si="44"/>
        <v>0</v>
      </c>
      <c r="CQ23" s="1">
        <f t="shared" si="44"/>
        <v>0</v>
      </c>
      <c r="CR23" s="1">
        <f t="shared" si="44"/>
        <v>0</v>
      </c>
      <c r="CS23" s="1">
        <f t="shared" si="44"/>
        <v>0</v>
      </c>
      <c r="CT23" s="1">
        <f t="shared" si="44"/>
        <v>0</v>
      </c>
      <c r="CU23" s="1">
        <f t="shared" si="44"/>
        <v>0</v>
      </c>
      <c r="CV23" s="1">
        <f t="shared" si="44"/>
        <v>0</v>
      </c>
      <c r="CW23" s="1">
        <f t="shared" si="44"/>
        <v>0</v>
      </c>
      <c r="CX23" s="1">
        <f t="shared" ref="CX23:DV23" si="46">+IF($A23="","",IF($D23=CX$15,$B23+IF(MONTH($B$8)-MONTH($B$7)+$E$14=CW$14,$C23,0),0))</f>
        <v>0</v>
      </c>
      <c r="CY23" s="1">
        <f t="shared" si="46"/>
        <v>0</v>
      </c>
      <c r="CZ23" s="1">
        <f t="shared" si="46"/>
        <v>0</v>
      </c>
      <c r="DA23" s="1">
        <f t="shared" si="46"/>
        <v>0</v>
      </c>
      <c r="DB23" s="1">
        <f t="shared" si="46"/>
        <v>0</v>
      </c>
      <c r="DC23" s="1">
        <f t="shared" si="46"/>
        <v>0</v>
      </c>
      <c r="DD23" s="1">
        <f t="shared" si="46"/>
        <v>0</v>
      </c>
      <c r="DE23" s="1">
        <f t="shared" si="46"/>
        <v>0</v>
      </c>
      <c r="DF23" s="1">
        <f t="shared" si="46"/>
        <v>0</v>
      </c>
      <c r="DG23" s="1">
        <f t="shared" si="46"/>
        <v>0</v>
      </c>
      <c r="DH23" s="1">
        <f t="shared" si="46"/>
        <v>0</v>
      </c>
      <c r="DI23" s="1">
        <f t="shared" si="46"/>
        <v>0</v>
      </c>
      <c r="DJ23" s="1">
        <f t="shared" si="46"/>
        <v>0</v>
      </c>
      <c r="DK23" s="1">
        <f t="shared" si="46"/>
        <v>0</v>
      </c>
      <c r="DL23" s="1">
        <f t="shared" si="46"/>
        <v>0</v>
      </c>
      <c r="DM23" s="1">
        <f t="shared" si="46"/>
        <v>0</v>
      </c>
      <c r="DN23" s="1">
        <f t="shared" si="46"/>
        <v>0</v>
      </c>
      <c r="DO23" s="1">
        <f t="shared" si="46"/>
        <v>0</v>
      </c>
      <c r="DP23" s="1">
        <f t="shared" si="46"/>
        <v>0</v>
      </c>
      <c r="DQ23" s="1">
        <f t="shared" si="46"/>
        <v>0</v>
      </c>
      <c r="DR23" s="1">
        <f t="shared" si="46"/>
        <v>0</v>
      </c>
      <c r="DS23" s="1">
        <f t="shared" si="46"/>
        <v>0</v>
      </c>
      <c r="DT23" s="1">
        <f t="shared" si="46"/>
        <v>0</v>
      </c>
      <c r="DU23" s="1">
        <f t="shared" si="46"/>
        <v>0</v>
      </c>
      <c r="DV23" s="1">
        <f t="shared" si="46"/>
        <v>0</v>
      </c>
    </row>
    <row r="24" spans="1:126" x14ac:dyDescent="0.25">
      <c r="A24" s="26" t="s">
        <v>217</v>
      </c>
      <c r="B24" s="36">
        <f>+SUMIFS(ValoresMercado,Conceptos,A24,Relacion,TmcBw,Tipo,TipoEspecifico)</f>
        <v>0</v>
      </c>
      <c r="C24" s="26"/>
      <c r="D24" s="35"/>
      <c r="E24" s="35">
        <f t="shared" si="37"/>
        <v>56</v>
      </c>
      <c r="F24" s="1">
        <f t="shared" si="42"/>
        <v>0</v>
      </c>
      <c r="G24" s="1">
        <f t="shared" si="45"/>
        <v>0</v>
      </c>
      <c r="H24" s="1">
        <f t="shared" si="45"/>
        <v>0</v>
      </c>
      <c r="I24" s="1">
        <f t="shared" si="45"/>
        <v>0</v>
      </c>
      <c r="J24" s="1">
        <f t="shared" si="45"/>
        <v>0</v>
      </c>
      <c r="K24" s="1">
        <f t="shared" si="45"/>
        <v>0</v>
      </c>
      <c r="L24" s="1">
        <f t="shared" si="45"/>
        <v>0</v>
      </c>
      <c r="M24" s="1">
        <f t="shared" si="45"/>
        <v>0</v>
      </c>
      <c r="N24" s="1">
        <f t="shared" si="45"/>
        <v>0</v>
      </c>
      <c r="O24" s="1">
        <f t="shared" si="45"/>
        <v>0</v>
      </c>
      <c r="P24" s="1">
        <f t="shared" si="45"/>
        <v>0</v>
      </c>
      <c r="Q24" s="1">
        <f t="shared" si="45"/>
        <v>0</v>
      </c>
      <c r="R24" s="1">
        <f t="shared" si="45"/>
        <v>0</v>
      </c>
      <c r="S24" s="1">
        <f t="shared" si="45"/>
        <v>0</v>
      </c>
      <c r="T24" s="1">
        <f t="shared" si="45"/>
        <v>0</v>
      </c>
      <c r="U24" s="1">
        <f t="shared" si="45"/>
        <v>0</v>
      </c>
      <c r="V24" s="1">
        <f t="shared" si="45"/>
        <v>0</v>
      </c>
      <c r="W24" s="1">
        <f t="shared" si="45"/>
        <v>0</v>
      </c>
      <c r="X24" s="1">
        <f t="shared" si="45"/>
        <v>0</v>
      </c>
      <c r="Y24" s="1">
        <f t="shared" si="45"/>
        <v>0</v>
      </c>
      <c r="Z24" s="1">
        <f t="shared" si="45"/>
        <v>0</v>
      </c>
      <c r="AA24" s="1">
        <f t="shared" si="45"/>
        <v>0</v>
      </c>
      <c r="AB24" s="1">
        <f t="shared" si="45"/>
        <v>0</v>
      </c>
      <c r="AC24" s="1">
        <f t="shared" si="45"/>
        <v>0</v>
      </c>
      <c r="AD24" s="1">
        <f t="shared" si="45"/>
        <v>0</v>
      </c>
      <c r="AE24" s="1">
        <f t="shared" si="45"/>
        <v>0</v>
      </c>
      <c r="AF24" s="1">
        <f t="shared" si="45"/>
        <v>0</v>
      </c>
      <c r="AG24" s="1">
        <f t="shared" si="45"/>
        <v>0</v>
      </c>
      <c r="AH24" s="1">
        <f t="shared" si="45"/>
        <v>0</v>
      </c>
      <c r="AI24" s="1">
        <f t="shared" si="45"/>
        <v>0</v>
      </c>
      <c r="AJ24" s="1">
        <f t="shared" si="45"/>
        <v>0</v>
      </c>
      <c r="AK24" s="1">
        <f t="shared" si="45"/>
        <v>0</v>
      </c>
      <c r="AL24" s="1">
        <f t="shared" si="45"/>
        <v>0</v>
      </c>
      <c r="AM24" s="1">
        <f t="shared" si="45"/>
        <v>0</v>
      </c>
      <c r="AN24" s="1">
        <f t="shared" si="45"/>
        <v>0</v>
      </c>
      <c r="AO24" s="1">
        <f t="shared" si="45"/>
        <v>0</v>
      </c>
      <c r="AP24" s="1">
        <f t="shared" si="45"/>
        <v>0</v>
      </c>
      <c r="AQ24" s="1">
        <f t="shared" si="45"/>
        <v>0</v>
      </c>
      <c r="AR24" s="1">
        <f t="shared" si="45"/>
        <v>0</v>
      </c>
      <c r="AS24" s="1">
        <f t="shared" si="45"/>
        <v>0</v>
      </c>
      <c r="AT24" s="1">
        <f t="shared" si="45"/>
        <v>0</v>
      </c>
      <c r="AU24" s="1">
        <f t="shared" si="45"/>
        <v>0</v>
      </c>
      <c r="AV24" s="1">
        <f t="shared" si="45"/>
        <v>0</v>
      </c>
      <c r="AW24" s="1">
        <f t="shared" si="45"/>
        <v>0</v>
      </c>
      <c r="AX24" s="1">
        <f t="shared" si="45"/>
        <v>0</v>
      </c>
      <c r="AY24" s="1">
        <f t="shared" si="45"/>
        <v>0</v>
      </c>
      <c r="AZ24" s="1">
        <f t="shared" si="45"/>
        <v>0</v>
      </c>
      <c r="BA24" s="1">
        <f t="shared" si="45"/>
        <v>0</v>
      </c>
      <c r="BB24" s="1">
        <f t="shared" si="45"/>
        <v>0</v>
      </c>
      <c r="BC24" s="1">
        <f t="shared" si="45"/>
        <v>0</v>
      </c>
      <c r="BD24" s="1">
        <f t="shared" si="45"/>
        <v>0</v>
      </c>
      <c r="BE24" s="1">
        <f t="shared" si="45"/>
        <v>0</v>
      </c>
      <c r="BF24" s="1">
        <f t="shared" si="45"/>
        <v>0</v>
      </c>
      <c r="BG24" s="1">
        <f t="shared" si="45"/>
        <v>0</v>
      </c>
      <c r="BH24" s="1">
        <f t="shared" si="45"/>
        <v>0</v>
      </c>
      <c r="BI24" s="1">
        <f t="shared" si="45"/>
        <v>0</v>
      </c>
      <c r="BJ24" s="1">
        <f t="shared" si="45"/>
        <v>0</v>
      </c>
      <c r="BK24" s="1">
        <f t="shared" si="45"/>
        <v>0</v>
      </c>
      <c r="BL24" s="1">
        <f t="shared" si="45"/>
        <v>0</v>
      </c>
      <c r="BM24" s="1">
        <f t="shared" si="45"/>
        <v>0</v>
      </c>
      <c r="BN24" s="1">
        <f t="shared" si="45"/>
        <v>0</v>
      </c>
      <c r="BO24" s="1">
        <f t="shared" si="45"/>
        <v>0</v>
      </c>
      <c r="BP24" s="1">
        <f t="shared" si="45"/>
        <v>0</v>
      </c>
      <c r="BQ24" s="1">
        <f t="shared" si="45"/>
        <v>0</v>
      </c>
      <c r="BR24" s="1">
        <f t="shared" si="45"/>
        <v>0</v>
      </c>
      <c r="BS24" s="1">
        <f t="shared" ref="BS24:DV26" si="47">+IF($A24="","",IF($D24=BS$15,$B24+IF(MONTH($B$8)-MONTH($B$7)+$E$14=BR$14,$C24,0),0))</f>
        <v>0</v>
      </c>
      <c r="BT24" s="1">
        <f t="shared" si="47"/>
        <v>0</v>
      </c>
      <c r="BU24" s="1">
        <f t="shared" si="47"/>
        <v>0</v>
      </c>
      <c r="BV24" s="1">
        <f t="shared" si="47"/>
        <v>0</v>
      </c>
      <c r="BW24" s="1">
        <f t="shared" si="47"/>
        <v>0</v>
      </c>
      <c r="BX24" s="1">
        <f t="shared" si="47"/>
        <v>0</v>
      </c>
      <c r="BY24" s="1">
        <f t="shared" si="47"/>
        <v>0</v>
      </c>
      <c r="BZ24" s="1">
        <f t="shared" si="47"/>
        <v>0</v>
      </c>
      <c r="CA24" s="1">
        <f t="shared" si="47"/>
        <v>0</v>
      </c>
      <c r="CB24" s="1">
        <f t="shared" si="47"/>
        <v>0</v>
      </c>
      <c r="CC24" s="1">
        <f t="shared" si="47"/>
        <v>0</v>
      </c>
      <c r="CD24" s="1">
        <f t="shared" si="47"/>
        <v>0</v>
      </c>
      <c r="CE24" s="1">
        <f t="shared" si="47"/>
        <v>0</v>
      </c>
      <c r="CF24" s="1">
        <f t="shared" si="47"/>
        <v>0</v>
      </c>
      <c r="CG24" s="1">
        <f t="shared" si="47"/>
        <v>0</v>
      </c>
      <c r="CH24" s="1">
        <f t="shared" si="47"/>
        <v>0</v>
      </c>
      <c r="CI24" s="1">
        <f t="shared" si="47"/>
        <v>0</v>
      </c>
      <c r="CJ24" s="1">
        <f t="shared" si="47"/>
        <v>0</v>
      </c>
      <c r="CK24" s="1">
        <f t="shared" si="47"/>
        <v>0</v>
      </c>
      <c r="CL24" s="1">
        <f t="shared" si="47"/>
        <v>0</v>
      </c>
      <c r="CM24" s="1">
        <f t="shared" si="47"/>
        <v>0</v>
      </c>
      <c r="CN24" s="1">
        <f t="shared" si="47"/>
        <v>0</v>
      </c>
      <c r="CO24" s="1">
        <f t="shared" si="47"/>
        <v>0</v>
      </c>
      <c r="CP24" s="1">
        <f t="shared" si="47"/>
        <v>0</v>
      </c>
      <c r="CQ24" s="1">
        <f t="shared" si="47"/>
        <v>0</v>
      </c>
      <c r="CR24" s="1">
        <f t="shared" si="47"/>
        <v>0</v>
      </c>
      <c r="CS24" s="1">
        <f t="shared" si="47"/>
        <v>0</v>
      </c>
      <c r="CT24" s="1">
        <f t="shared" si="47"/>
        <v>0</v>
      </c>
      <c r="CU24" s="1">
        <f t="shared" si="47"/>
        <v>0</v>
      </c>
      <c r="CV24" s="1">
        <f t="shared" si="47"/>
        <v>0</v>
      </c>
      <c r="CW24" s="1">
        <f t="shared" si="47"/>
        <v>0</v>
      </c>
      <c r="CX24" s="1">
        <f t="shared" si="47"/>
        <v>0</v>
      </c>
      <c r="CY24" s="1">
        <f t="shared" si="47"/>
        <v>0</v>
      </c>
      <c r="CZ24" s="1">
        <f t="shared" si="47"/>
        <v>0</v>
      </c>
      <c r="DA24" s="1">
        <f t="shared" si="47"/>
        <v>0</v>
      </c>
      <c r="DB24" s="1">
        <f t="shared" si="47"/>
        <v>0</v>
      </c>
      <c r="DC24" s="1">
        <f t="shared" si="47"/>
        <v>0</v>
      </c>
      <c r="DD24" s="1">
        <f t="shared" si="47"/>
        <v>0</v>
      </c>
      <c r="DE24" s="1">
        <f t="shared" si="47"/>
        <v>0</v>
      </c>
      <c r="DF24" s="1">
        <f t="shared" si="47"/>
        <v>0</v>
      </c>
      <c r="DG24" s="1">
        <f t="shared" si="47"/>
        <v>0</v>
      </c>
      <c r="DH24" s="1">
        <f t="shared" si="47"/>
        <v>0</v>
      </c>
      <c r="DI24" s="1">
        <f t="shared" si="47"/>
        <v>0</v>
      </c>
      <c r="DJ24" s="1">
        <f t="shared" si="47"/>
        <v>0</v>
      </c>
      <c r="DK24" s="1">
        <f t="shared" si="47"/>
        <v>0</v>
      </c>
      <c r="DL24" s="1">
        <f t="shared" si="47"/>
        <v>0</v>
      </c>
      <c r="DM24" s="1">
        <f t="shared" si="47"/>
        <v>0</v>
      </c>
      <c r="DN24" s="1">
        <f t="shared" si="47"/>
        <v>0</v>
      </c>
      <c r="DO24" s="1">
        <f t="shared" si="47"/>
        <v>0</v>
      </c>
      <c r="DP24" s="1">
        <f t="shared" si="47"/>
        <v>0</v>
      </c>
      <c r="DQ24" s="1">
        <f t="shared" si="47"/>
        <v>0</v>
      </c>
      <c r="DR24" s="1">
        <f t="shared" si="47"/>
        <v>0</v>
      </c>
      <c r="DS24" s="1">
        <f t="shared" si="47"/>
        <v>0</v>
      </c>
      <c r="DT24" s="1">
        <f t="shared" si="47"/>
        <v>0</v>
      </c>
      <c r="DU24" s="1">
        <f t="shared" si="47"/>
        <v>0</v>
      </c>
      <c r="DV24" s="1">
        <f t="shared" si="47"/>
        <v>0</v>
      </c>
    </row>
    <row r="25" spans="1:126" x14ac:dyDescent="0.25">
      <c r="A25" s="26" t="s">
        <v>218</v>
      </c>
      <c r="B25" s="36">
        <f>+SUMIFS(ValoresMercado,Conceptos,A25,Relacion,TmcBw,Tipo,TipoEspecifico)</f>
        <v>0</v>
      </c>
      <c r="C25" s="26"/>
      <c r="D25" s="35"/>
      <c r="E25" s="35">
        <f t="shared" si="37"/>
        <v>56</v>
      </c>
      <c r="F25" s="1">
        <f t="shared" si="42"/>
        <v>0</v>
      </c>
      <c r="G25" s="1">
        <f t="shared" si="45"/>
        <v>0</v>
      </c>
      <c r="H25" s="1">
        <f t="shared" si="45"/>
        <v>0</v>
      </c>
      <c r="I25" s="1">
        <f t="shared" si="45"/>
        <v>0</v>
      </c>
      <c r="J25" s="1">
        <f t="shared" si="45"/>
        <v>0</v>
      </c>
      <c r="K25" s="1">
        <f t="shared" si="45"/>
        <v>0</v>
      </c>
      <c r="L25" s="1">
        <f t="shared" si="45"/>
        <v>0</v>
      </c>
      <c r="M25" s="1">
        <f t="shared" si="45"/>
        <v>0</v>
      </c>
      <c r="N25" s="1">
        <f t="shared" si="45"/>
        <v>0</v>
      </c>
      <c r="O25" s="1">
        <f t="shared" si="45"/>
        <v>0</v>
      </c>
      <c r="P25" s="1">
        <f t="shared" si="45"/>
        <v>0</v>
      </c>
      <c r="Q25" s="1">
        <f t="shared" si="45"/>
        <v>0</v>
      </c>
      <c r="R25" s="1">
        <f t="shared" si="45"/>
        <v>0</v>
      </c>
      <c r="S25" s="1">
        <f t="shared" si="45"/>
        <v>0</v>
      </c>
      <c r="T25" s="1">
        <f t="shared" si="45"/>
        <v>0</v>
      </c>
      <c r="U25" s="1">
        <f t="shared" si="45"/>
        <v>0</v>
      </c>
      <c r="V25" s="1">
        <f t="shared" si="45"/>
        <v>0</v>
      </c>
      <c r="W25" s="1">
        <f t="shared" si="45"/>
        <v>0</v>
      </c>
      <c r="X25" s="1">
        <f t="shared" si="45"/>
        <v>0</v>
      </c>
      <c r="Y25" s="1">
        <f t="shared" si="45"/>
        <v>0</v>
      </c>
      <c r="Z25" s="1">
        <f t="shared" si="45"/>
        <v>0</v>
      </c>
      <c r="AA25" s="1">
        <f t="shared" si="45"/>
        <v>0</v>
      </c>
      <c r="AB25" s="1">
        <f t="shared" si="45"/>
        <v>0</v>
      </c>
      <c r="AC25" s="1">
        <f t="shared" si="45"/>
        <v>0</v>
      </c>
      <c r="AD25" s="1">
        <f t="shared" si="45"/>
        <v>0</v>
      </c>
      <c r="AE25" s="1">
        <f t="shared" si="45"/>
        <v>0</v>
      </c>
      <c r="AF25" s="1">
        <f t="shared" si="45"/>
        <v>0</v>
      </c>
      <c r="AG25" s="1">
        <f t="shared" si="45"/>
        <v>0</v>
      </c>
      <c r="AH25" s="1">
        <f t="shared" si="45"/>
        <v>0</v>
      </c>
      <c r="AI25" s="1">
        <f t="shared" si="45"/>
        <v>0</v>
      </c>
      <c r="AJ25" s="1">
        <f t="shared" si="45"/>
        <v>0</v>
      </c>
      <c r="AK25" s="1">
        <f t="shared" si="45"/>
        <v>0</v>
      </c>
      <c r="AL25" s="1">
        <f t="shared" si="45"/>
        <v>0</v>
      </c>
      <c r="AM25" s="1">
        <f t="shared" si="45"/>
        <v>0</v>
      </c>
      <c r="AN25" s="1">
        <f t="shared" si="45"/>
        <v>0</v>
      </c>
      <c r="AO25" s="1">
        <f t="shared" si="45"/>
        <v>0</v>
      </c>
      <c r="AP25" s="1">
        <f t="shared" si="45"/>
        <v>0</v>
      </c>
      <c r="AQ25" s="1">
        <f t="shared" si="45"/>
        <v>0</v>
      </c>
      <c r="AR25" s="1">
        <f t="shared" si="45"/>
        <v>0</v>
      </c>
      <c r="AS25" s="1">
        <f t="shared" si="45"/>
        <v>0</v>
      </c>
      <c r="AT25" s="1">
        <f t="shared" si="45"/>
        <v>0</v>
      </c>
      <c r="AU25" s="1">
        <f t="shared" si="45"/>
        <v>0</v>
      </c>
      <c r="AV25" s="1">
        <f t="shared" si="45"/>
        <v>0</v>
      </c>
      <c r="AW25" s="1">
        <f t="shared" si="45"/>
        <v>0</v>
      </c>
      <c r="AX25" s="1">
        <f t="shared" si="45"/>
        <v>0</v>
      </c>
      <c r="AY25" s="1">
        <f t="shared" si="45"/>
        <v>0</v>
      </c>
      <c r="AZ25" s="1">
        <f t="shared" si="45"/>
        <v>0</v>
      </c>
      <c r="BA25" s="1">
        <f t="shared" si="45"/>
        <v>0</v>
      </c>
      <c r="BB25" s="1">
        <f t="shared" si="45"/>
        <v>0</v>
      </c>
      <c r="BC25" s="1">
        <f t="shared" si="45"/>
        <v>0</v>
      </c>
      <c r="BD25" s="1">
        <f t="shared" si="45"/>
        <v>0</v>
      </c>
      <c r="BE25" s="1">
        <f t="shared" si="45"/>
        <v>0</v>
      </c>
      <c r="BF25" s="1">
        <f t="shared" si="45"/>
        <v>0</v>
      </c>
      <c r="BG25" s="1">
        <f t="shared" si="45"/>
        <v>0</v>
      </c>
      <c r="BH25" s="1">
        <f t="shared" si="45"/>
        <v>0</v>
      </c>
      <c r="BI25" s="1">
        <f t="shared" si="45"/>
        <v>0</v>
      </c>
      <c r="BJ25" s="1">
        <f t="shared" si="45"/>
        <v>0</v>
      </c>
      <c r="BK25" s="1">
        <f t="shared" si="45"/>
        <v>0</v>
      </c>
      <c r="BL25" s="1">
        <f t="shared" si="45"/>
        <v>0</v>
      </c>
      <c r="BM25" s="1">
        <f t="shared" si="45"/>
        <v>0</v>
      </c>
      <c r="BN25" s="1">
        <f t="shared" si="45"/>
        <v>0</v>
      </c>
      <c r="BO25" s="1">
        <f t="shared" si="45"/>
        <v>0</v>
      </c>
      <c r="BP25" s="1">
        <f t="shared" si="45"/>
        <v>0</v>
      </c>
      <c r="BQ25" s="1">
        <f t="shared" si="45"/>
        <v>0</v>
      </c>
      <c r="BR25" s="1">
        <f t="shared" si="45"/>
        <v>0</v>
      </c>
      <c r="BS25" s="1">
        <f t="shared" si="47"/>
        <v>0</v>
      </c>
      <c r="BT25" s="1">
        <f t="shared" si="47"/>
        <v>0</v>
      </c>
      <c r="BU25" s="1">
        <f t="shared" si="47"/>
        <v>0</v>
      </c>
      <c r="BV25" s="1">
        <f t="shared" si="47"/>
        <v>0</v>
      </c>
      <c r="BW25" s="1">
        <f t="shared" si="47"/>
        <v>0</v>
      </c>
      <c r="BX25" s="1">
        <f t="shared" si="47"/>
        <v>0</v>
      </c>
      <c r="BY25" s="1">
        <f t="shared" si="47"/>
        <v>0</v>
      </c>
      <c r="BZ25" s="1">
        <f t="shared" si="47"/>
        <v>0</v>
      </c>
      <c r="CA25" s="1">
        <f t="shared" si="47"/>
        <v>0</v>
      </c>
      <c r="CB25" s="1">
        <f t="shared" si="47"/>
        <v>0</v>
      </c>
      <c r="CC25" s="1">
        <f t="shared" si="47"/>
        <v>0</v>
      </c>
      <c r="CD25" s="1">
        <f t="shared" si="47"/>
        <v>0</v>
      </c>
      <c r="CE25" s="1">
        <f t="shared" si="47"/>
        <v>0</v>
      </c>
      <c r="CF25" s="1">
        <f t="shared" si="47"/>
        <v>0</v>
      </c>
      <c r="CG25" s="1">
        <f t="shared" si="47"/>
        <v>0</v>
      </c>
      <c r="CH25" s="1">
        <f t="shared" si="47"/>
        <v>0</v>
      </c>
      <c r="CI25" s="1">
        <f t="shared" si="47"/>
        <v>0</v>
      </c>
      <c r="CJ25" s="1">
        <f t="shared" si="47"/>
        <v>0</v>
      </c>
      <c r="CK25" s="1">
        <f t="shared" si="47"/>
        <v>0</v>
      </c>
      <c r="CL25" s="1">
        <f t="shared" si="47"/>
        <v>0</v>
      </c>
      <c r="CM25" s="1">
        <f t="shared" si="47"/>
        <v>0</v>
      </c>
      <c r="CN25" s="1">
        <f t="shared" si="47"/>
        <v>0</v>
      </c>
      <c r="CO25" s="1">
        <f t="shared" si="47"/>
        <v>0</v>
      </c>
      <c r="CP25" s="1">
        <f t="shared" si="47"/>
        <v>0</v>
      </c>
      <c r="CQ25" s="1">
        <f t="shared" si="47"/>
        <v>0</v>
      </c>
      <c r="CR25" s="1">
        <f t="shared" si="47"/>
        <v>0</v>
      </c>
      <c r="CS25" s="1">
        <f t="shared" si="47"/>
        <v>0</v>
      </c>
      <c r="CT25" s="1">
        <f t="shared" si="47"/>
        <v>0</v>
      </c>
      <c r="CU25" s="1">
        <f t="shared" si="47"/>
        <v>0</v>
      </c>
      <c r="CV25" s="1">
        <f t="shared" si="47"/>
        <v>0</v>
      </c>
      <c r="CW25" s="1">
        <f t="shared" si="47"/>
        <v>0</v>
      </c>
      <c r="CX25" s="1">
        <f t="shared" si="47"/>
        <v>0</v>
      </c>
      <c r="CY25" s="1">
        <f t="shared" si="47"/>
        <v>0</v>
      </c>
      <c r="CZ25" s="1">
        <f t="shared" si="47"/>
        <v>0</v>
      </c>
      <c r="DA25" s="1">
        <f t="shared" si="47"/>
        <v>0</v>
      </c>
      <c r="DB25" s="1">
        <f t="shared" si="47"/>
        <v>0</v>
      </c>
      <c r="DC25" s="1">
        <f t="shared" si="47"/>
        <v>0</v>
      </c>
      <c r="DD25" s="1">
        <f t="shared" si="47"/>
        <v>0</v>
      </c>
      <c r="DE25" s="1">
        <f t="shared" si="47"/>
        <v>0</v>
      </c>
      <c r="DF25" s="1">
        <f t="shared" si="47"/>
        <v>0</v>
      </c>
      <c r="DG25" s="1">
        <f t="shared" si="47"/>
        <v>0</v>
      </c>
      <c r="DH25" s="1">
        <f t="shared" si="47"/>
        <v>0</v>
      </c>
      <c r="DI25" s="1">
        <f t="shared" si="47"/>
        <v>0</v>
      </c>
      <c r="DJ25" s="1">
        <f t="shared" si="47"/>
        <v>0</v>
      </c>
      <c r="DK25" s="1">
        <f t="shared" si="47"/>
        <v>0</v>
      </c>
      <c r="DL25" s="1">
        <f t="shared" si="47"/>
        <v>0</v>
      </c>
      <c r="DM25" s="1">
        <f t="shared" si="47"/>
        <v>0</v>
      </c>
      <c r="DN25" s="1">
        <f t="shared" si="47"/>
        <v>0</v>
      </c>
      <c r="DO25" s="1">
        <f t="shared" si="47"/>
        <v>0</v>
      </c>
      <c r="DP25" s="1">
        <f t="shared" si="47"/>
        <v>0</v>
      </c>
      <c r="DQ25" s="1">
        <f t="shared" si="47"/>
        <v>0</v>
      </c>
      <c r="DR25" s="1">
        <f t="shared" si="47"/>
        <v>0</v>
      </c>
      <c r="DS25" s="1">
        <f t="shared" si="47"/>
        <v>0</v>
      </c>
      <c r="DT25" s="1">
        <f t="shared" si="47"/>
        <v>0</v>
      </c>
      <c r="DU25" s="1">
        <f t="shared" si="47"/>
        <v>0</v>
      </c>
      <c r="DV25" s="1">
        <f t="shared" si="47"/>
        <v>0</v>
      </c>
    </row>
    <row r="26" spans="1:126" x14ac:dyDescent="0.25">
      <c r="A26" s="60" t="s">
        <v>310</v>
      </c>
      <c r="B26" s="36">
        <f>+SUMIFS(ValoresMercado,Conceptos,A26,Relacion,TmcBw,RangoSectorEnodeb,SectorEnodeb)</f>
        <v>36785280</v>
      </c>
      <c r="C26" s="26"/>
      <c r="D26" s="35"/>
      <c r="E26" s="35">
        <f t="shared" si="37"/>
        <v>56</v>
      </c>
      <c r="F26" s="1">
        <f t="shared" si="42"/>
        <v>36785280</v>
      </c>
      <c r="G26" s="1">
        <f t="shared" ref="G26:BR26" si="48">+IF($A26="","",IF($D26=G$15,$B26+IF(MONTH($B$8)-MONTH($B$7)+$E$14=F$14,$C26,0),0))</f>
        <v>0</v>
      </c>
      <c r="H26" s="1">
        <f t="shared" si="48"/>
        <v>0</v>
      </c>
      <c r="I26" s="1">
        <f t="shared" si="48"/>
        <v>0</v>
      </c>
      <c r="J26" s="1">
        <f t="shared" si="48"/>
        <v>0</v>
      </c>
      <c r="K26" s="1">
        <f t="shared" si="48"/>
        <v>0</v>
      </c>
      <c r="L26" s="1">
        <f t="shared" si="48"/>
        <v>0</v>
      </c>
      <c r="M26" s="1">
        <f t="shared" si="48"/>
        <v>0</v>
      </c>
      <c r="N26" s="1">
        <f t="shared" si="48"/>
        <v>0</v>
      </c>
      <c r="O26" s="1">
        <f t="shared" si="48"/>
        <v>0</v>
      </c>
      <c r="P26" s="1">
        <f t="shared" si="48"/>
        <v>0</v>
      </c>
      <c r="Q26" s="1">
        <f t="shared" si="48"/>
        <v>0</v>
      </c>
      <c r="R26" s="1">
        <f t="shared" si="48"/>
        <v>0</v>
      </c>
      <c r="S26" s="1">
        <f t="shared" si="48"/>
        <v>0</v>
      </c>
      <c r="T26" s="1">
        <f t="shared" si="48"/>
        <v>0</v>
      </c>
      <c r="U26" s="1">
        <f t="shared" si="48"/>
        <v>0</v>
      </c>
      <c r="V26" s="1">
        <f t="shared" si="48"/>
        <v>0</v>
      </c>
      <c r="W26" s="1">
        <f t="shared" si="48"/>
        <v>0</v>
      </c>
      <c r="X26" s="1">
        <f t="shared" si="48"/>
        <v>0</v>
      </c>
      <c r="Y26" s="1">
        <f t="shared" si="48"/>
        <v>0</v>
      </c>
      <c r="Z26" s="1">
        <f t="shared" si="48"/>
        <v>0</v>
      </c>
      <c r="AA26" s="1">
        <f t="shared" si="48"/>
        <v>0</v>
      </c>
      <c r="AB26" s="1">
        <f t="shared" si="48"/>
        <v>0</v>
      </c>
      <c r="AC26" s="1">
        <f t="shared" si="48"/>
        <v>0</v>
      </c>
      <c r="AD26" s="1">
        <f t="shared" si="48"/>
        <v>0</v>
      </c>
      <c r="AE26" s="1">
        <f t="shared" si="48"/>
        <v>0</v>
      </c>
      <c r="AF26" s="1">
        <f t="shared" si="48"/>
        <v>0</v>
      </c>
      <c r="AG26" s="1">
        <f t="shared" si="48"/>
        <v>0</v>
      </c>
      <c r="AH26" s="1">
        <f t="shared" si="48"/>
        <v>0</v>
      </c>
      <c r="AI26" s="1">
        <f t="shared" si="48"/>
        <v>0</v>
      </c>
      <c r="AJ26" s="1">
        <f t="shared" si="48"/>
        <v>0</v>
      </c>
      <c r="AK26" s="1">
        <f t="shared" si="48"/>
        <v>0</v>
      </c>
      <c r="AL26" s="1">
        <f t="shared" si="48"/>
        <v>0</v>
      </c>
      <c r="AM26" s="1">
        <f t="shared" si="48"/>
        <v>0</v>
      </c>
      <c r="AN26" s="1">
        <f t="shared" si="48"/>
        <v>0</v>
      </c>
      <c r="AO26" s="1">
        <f t="shared" si="48"/>
        <v>0</v>
      </c>
      <c r="AP26" s="1">
        <f t="shared" si="48"/>
        <v>0</v>
      </c>
      <c r="AQ26" s="1">
        <f t="shared" si="48"/>
        <v>0</v>
      </c>
      <c r="AR26" s="1">
        <f t="shared" si="48"/>
        <v>0</v>
      </c>
      <c r="AS26" s="1">
        <f t="shared" si="48"/>
        <v>0</v>
      </c>
      <c r="AT26" s="1">
        <f t="shared" si="48"/>
        <v>0</v>
      </c>
      <c r="AU26" s="1">
        <f t="shared" si="48"/>
        <v>0</v>
      </c>
      <c r="AV26" s="1">
        <f t="shared" si="48"/>
        <v>0</v>
      </c>
      <c r="AW26" s="1">
        <f t="shared" si="48"/>
        <v>0</v>
      </c>
      <c r="AX26" s="1">
        <f t="shared" si="48"/>
        <v>0</v>
      </c>
      <c r="AY26" s="1">
        <f t="shared" si="48"/>
        <v>0</v>
      </c>
      <c r="AZ26" s="1">
        <f t="shared" si="48"/>
        <v>0</v>
      </c>
      <c r="BA26" s="1">
        <f t="shared" si="48"/>
        <v>0</v>
      </c>
      <c r="BB26" s="1">
        <f t="shared" si="48"/>
        <v>0</v>
      </c>
      <c r="BC26" s="1">
        <f t="shared" si="48"/>
        <v>0</v>
      </c>
      <c r="BD26" s="1">
        <f t="shared" si="48"/>
        <v>0</v>
      </c>
      <c r="BE26" s="1">
        <f t="shared" si="48"/>
        <v>0</v>
      </c>
      <c r="BF26" s="1">
        <f t="shared" si="48"/>
        <v>0</v>
      </c>
      <c r="BG26" s="1">
        <f t="shared" si="48"/>
        <v>0</v>
      </c>
      <c r="BH26" s="1">
        <f t="shared" si="48"/>
        <v>0</v>
      </c>
      <c r="BI26" s="1">
        <f t="shared" si="48"/>
        <v>0</v>
      </c>
      <c r="BJ26" s="1">
        <f t="shared" si="48"/>
        <v>0</v>
      </c>
      <c r="BK26" s="1">
        <f t="shared" si="48"/>
        <v>0</v>
      </c>
      <c r="BL26" s="1">
        <f t="shared" si="48"/>
        <v>0</v>
      </c>
      <c r="BM26" s="1">
        <f t="shared" si="48"/>
        <v>0</v>
      </c>
      <c r="BN26" s="1">
        <f t="shared" si="48"/>
        <v>0</v>
      </c>
      <c r="BO26" s="1">
        <f t="shared" si="48"/>
        <v>0</v>
      </c>
      <c r="BP26" s="1">
        <f t="shared" si="48"/>
        <v>0</v>
      </c>
      <c r="BQ26" s="1">
        <f t="shared" si="48"/>
        <v>0</v>
      </c>
      <c r="BR26" s="1">
        <f t="shared" si="48"/>
        <v>0</v>
      </c>
      <c r="BS26" s="1">
        <f t="shared" si="47"/>
        <v>0</v>
      </c>
      <c r="BT26" s="1">
        <f t="shared" si="47"/>
        <v>0</v>
      </c>
      <c r="BU26" s="1">
        <f t="shared" si="47"/>
        <v>0</v>
      </c>
      <c r="BV26" s="1">
        <f t="shared" si="47"/>
        <v>0</v>
      </c>
      <c r="BW26" s="1">
        <f t="shared" si="47"/>
        <v>0</v>
      </c>
      <c r="BX26" s="1">
        <f t="shared" si="47"/>
        <v>0</v>
      </c>
      <c r="BY26" s="1">
        <f t="shared" si="47"/>
        <v>0</v>
      </c>
      <c r="BZ26" s="1">
        <f t="shared" si="47"/>
        <v>0</v>
      </c>
      <c r="CA26" s="1">
        <f t="shared" si="47"/>
        <v>0</v>
      </c>
      <c r="CB26" s="1">
        <f t="shared" si="47"/>
        <v>0</v>
      </c>
      <c r="CC26" s="1">
        <f t="shared" si="47"/>
        <v>0</v>
      </c>
      <c r="CD26" s="1">
        <f t="shared" si="47"/>
        <v>0</v>
      </c>
      <c r="CE26" s="1">
        <f t="shared" si="47"/>
        <v>0</v>
      </c>
      <c r="CF26" s="1">
        <f t="shared" si="47"/>
        <v>0</v>
      </c>
      <c r="CG26" s="1">
        <f t="shared" si="47"/>
        <v>0</v>
      </c>
      <c r="CH26" s="1">
        <f t="shared" si="47"/>
        <v>0</v>
      </c>
      <c r="CI26" s="1">
        <f t="shared" si="47"/>
        <v>0</v>
      </c>
      <c r="CJ26" s="1">
        <f t="shared" si="47"/>
        <v>0</v>
      </c>
      <c r="CK26" s="1">
        <f t="shared" si="47"/>
        <v>0</v>
      </c>
      <c r="CL26" s="1">
        <f t="shared" si="47"/>
        <v>0</v>
      </c>
      <c r="CM26" s="1">
        <f t="shared" si="47"/>
        <v>0</v>
      </c>
      <c r="CN26" s="1">
        <f t="shared" si="47"/>
        <v>0</v>
      </c>
      <c r="CO26" s="1">
        <f t="shared" si="47"/>
        <v>0</v>
      </c>
      <c r="CP26" s="1">
        <f t="shared" si="47"/>
        <v>0</v>
      </c>
      <c r="CQ26" s="1">
        <f t="shared" si="47"/>
        <v>0</v>
      </c>
      <c r="CR26" s="1">
        <f t="shared" si="47"/>
        <v>0</v>
      </c>
      <c r="CS26" s="1">
        <f t="shared" si="47"/>
        <v>0</v>
      </c>
      <c r="CT26" s="1">
        <f t="shared" si="47"/>
        <v>0</v>
      </c>
      <c r="CU26" s="1">
        <f t="shared" si="47"/>
        <v>0</v>
      </c>
      <c r="CV26" s="1">
        <f t="shared" si="47"/>
        <v>0</v>
      </c>
      <c r="CW26" s="1">
        <f t="shared" si="47"/>
        <v>0</v>
      </c>
      <c r="CX26" s="1">
        <f t="shared" si="47"/>
        <v>0</v>
      </c>
      <c r="CY26" s="1">
        <f t="shared" si="47"/>
        <v>0</v>
      </c>
      <c r="CZ26" s="1">
        <f t="shared" si="47"/>
        <v>0</v>
      </c>
      <c r="DA26" s="1">
        <f t="shared" si="47"/>
        <v>0</v>
      </c>
      <c r="DB26" s="1">
        <f t="shared" si="47"/>
        <v>0</v>
      </c>
      <c r="DC26" s="1">
        <f t="shared" si="47"/>
        <v>0</v>
      </c>
      <c r="DD26" s="1">
        <f t="shared" si="47"/>
        <v>0</v>
      </c>
      <c r="DE26" s="1">
        <f t="shared" si="47"/>
        <v>0</v>
      </c>
      <c r="DF26" s="1">
        <f t="shared" si="47"/>
        <v>0</v>
      </c>
      <c r="DG26" s="1">
        <f t="shared" si="47"/>
        <v>0</v>
      </c>
      <c r="DH26" s="1">
        <f t="shared" si="47"/>
        <v>0</v>
      </c>
      <c r="DI26" s="1">
        <f t="shared" si="47"/>
        <v>0</v>
      </c>
      <c r="DJ26" s="1">
        <f t="shared" si="47"/>
        <v>0</v>
      </c>
      <c r="DK26" s="1">
        <f t="shared" si="47"/>
        <v>0</v>
      </c>
      <c r="DL26" s="1">
        <f t="shared" si="47"/>
        <v>0</v>
      </c>
      <c r="DM26" s="1">
        <f t="shared" si="47"/>
        <v>0</v>
      </c>
      <c r="DN26" s="1">
        <f t="shared" si="47"/>
        <v>0</v>
      </c>
      <c r="DO26" s="1">
        <f t="shared" si="47"/>
        <v>0</v>
      </c>
      <c r="DP26" s="1">
        <f t="shared" si="47"/>
        <v>0</v>
      </c>
      <c r="DQ26" s="1">
        <f t="shared" si="47"/>
        <v>0</v>
      </c>
      <c r="DR26" s="1">
        <f t="shared" si="47"/>
        <v>0</v>
      </c>
      <c r="DS26" s="1">
        <f t="shared" si="47"/>
        <v>0</v>
      </c>
      <c r="DT26" s="1">
        <f t="shared" si="47"/>
        <v>0</v>
      </c>
      <c r="DU26" s="1">
        <f t="shared" si="47"/>
        <v>0</v>
      </c>
      <c r="DV26" s="1">
        <f t="shared" si="47"/>
        <v>0</v>
      </c>
    </row>
    <row r="27" spans="1:126" x14ac:dyDescent="0.25">
      <c r="A27" s="26" t="s">
        <v>37</v>
      </c>
      <c r="B27" s="26"/>
      <c r="C27" s="36">
        <f>+IF(EventosMmto="",0,SUMIFS(ValoresMercado,Conceptos,A27,Tipo,TipoEspecifico)/(12/EventosMmtoEquipos))</f>
        <v>333333.33333333331</v>
      </c>
      <c r="D27" s="35"/>
      <c r="E27" s="35">
        <f>+MesesReconocimiento</f>
        <v>56</v>
      </c>
      <c r="F27" s="1">
        <f t="shared" si="28"/>
        <v>0</v>
      </c>
      <c r="G27" s="1">
        <f t="shared" ref="G27:AL27" si="49">+(IF($A27="","",IF($D27&gt;MONTH(G$16)-MONTH(InicioFuncion)+12*(YEAR(G$16)-YEAR(InicioFuncion))+1,0,IF($E27&lt;=(MONTH(G$16)-MONTH(InicioFuncion)+12*(YEAR(G$16)-YEAR(InicioFuncion)))-$D27+IF($D27&lt;&gt;"",1,0),0,IF(G$15&gt;$B$9,0,IF((YEAR($B$8)-YEAR($B$7))*12+(MONTH($B$8)-MONTH($B$7))+$E$14&lt;=F$14,$C27))))*HLOOKUP(YEAR(G$16),$E$3:$O$5,3,0)))*IF(G$15&lt;=24,MmtoGarantia3,1)</f>
        <v>0</v>
      </c>
      <c r="H27" s="1">
        <f t="shared" si="49"/>
        <v>0</v>
      </c>
      <c r="I27" s="1">
        <f t="shared" si="49"/>
        <v>0</v>
      </c>
      <c r="J27" s="1">
        <f t="shared" si="49"/>
        <v>0</v>
      </c>
      <c r="K27" s="1">
        <f t="shared" si="49"/>
        <v>0</v>
      </c>
      <c r="L27" s="1">
        <f t="shared" si="49"/>
        <v>0</v>
      </c>
      <c r="M27" s="1">
        <f t="shared" si="49"/>
        <v>0</v>
      </c>
      <c r="N27" s="1">
        <f t="shared" si="49"/>
        <v>0</v>
      </c>
      <c r="O27" s="1">
        <f t="shared" si="49"/>
        <v>0</v>
      </c>
      <c r="P27" s="1">
        <f t="shared" si="49"/>
        <v>0</v>
      </c>
      <c r="Q27" s="1">
        <f t="shared" si="49"/>
        <v>0</v>
      </c>
      <c r="R27" s="1">
        <f t="shared" si="49"/>
        <v>0</v>
      </c>
      <c r="S27" s="1">
        <f t="shared" si="49"/>
        <v>0</v>
      </c>
      <c r="T27" s="1">
        <f t="shared" si="49"/>
        <v>0</v>
      </c>
      <c r="U27" s="1">
        <f t="shared" si="49"/>
        <v>0</v>
      </c>
      <c r="V27" s="1">
        <f t="shared" si="49"/>
        <v>0</v>
      </c>
      <c r="W27" s="1">
        <f t="shared" si="49"/>
        <v>0</v>
      </c>
      <c r="X27" s="1">
        <f t="shared" si="49"/>
        <v>0</v>
      </c>
      <c r="Y27" s="1">
        <f t="shared" si="49"/>
        <v>0</v>
      </c>
      <c r="Z27" s="1">
        <f t="shared" si="49"/>
        <v>0</v>
      </c>
      <c r="AA27" s="1">
        <f t="shared" si="49"/>
        <v>0</v>
      </c>
      <c r="AB27" s="1">
        <f t="shared" si="49"/>
        <v>0</v>
      </c>
      <c r="AC27" s="1">
        <f t="shared" si="49"/>
        <v>0</v>
      </c>
      <c r="AD27" s="1">
        <f t="shared" si="49"/>
        <v>0</v>
      </c>
      <c r="AE27" s="1">
        <f t="shared" si="49"/>
        <v>353633.33333333331</v>
      </c>
      <c r="AF27" s="1">
        <f t="shared" si="49"/>
        <v>353633.33333333331</v>
      </c>
      <c r="AG27" s="1">
        <f t="shared" si="49"/>
        <v>353633.33333333331</v>
      </c>
      <c r="AH27" s="1">
        <f t="shared" si="49"/>
        <v>353633.33333333331</v>
      </c>
      <c r="AI27" s="1">
        <f t="shared" si="49"/>
        <v>353633.33333333331</v>
      </c>
      <c r="AJ27" s="1">
        <f t="shared" si="49"/>
        <v>353633.33333333331</v>
      </c>
      <c r="AK27" s="1">
        <f t="shared" si="49"/>
        <v>353633.33333333331</v>
      </c>
      <c r="AL27" s="1">
        <f t="shared" si="49"/>
        <v>364242.33333333331</v>
      </c>
      <c r="AM27" s="1">
        <f t="shared" ref="AM27:BR27" si="50">+(IF($A27="","",IF($D27&gt;MONTH(AM$16)-MONTH(InicioFuncion)+12*(YEAR(AM$16)-YEAR(InicioFuncion))+1,0,IF($E27&lt;=(MONTH(AM$16)-MONTH(InicioFuncion)+12*(YEAR(AM$16)-YEAR(InicioFuncion)))-$D27+IF($D27&lt;&gt;"",1,0),0,IF(AM$15&gt;$B$9,0,IF((YEAR($B$8)-YEAR($B$7))*12+(MONTH($B$8)-MONTH($B$7))+$E$14&lt;=AL$14,$C27))))*HLOOKUP(YEAR(AM$16),$E$3:$O$5,3,0)))*IF(AM$15&lt;=24,MmtoGarantia3,1)</f>
        <v>364242.33333333331</v>
      </c>
      <c r="AN27" s="1">
        <f t="shared" si="50"/>
        <v>364242.33333333331</v>
      </c>
      <c r="AO27" s="1">
        <f t="shared" si="50"/>
        <v>364242.33333333331</v>
      </c>
      <c r="AP27" s="1">
        <f t="shared" si="50"/>
        <v>364242.33333333331</v>
      </c>
      <c r="AQ27" s="1">
        <f t="shared" si="50"/>
        <v>364242.33333333331</v>
      </c>
      <c r="AR27" s="1">
        <f t="shared" si="50"/>
        <v>364242.33333333331</v>
      </c>
      <c r="AS27" s="1">
        <f t="shared" si="50"/>
        <v>364242.33333333331</v>
      </c>
      <c r="AT27" s="1">
        <f t="shared" si="50"/>
        <v>364242.33333333331</v>
      </c>
      <c r="AU27" s="1">
        <f t="shared" si="50"/>
        <v>364242.33333333331</v>
      </c>
      <c r="AV27" s="1">
        <f t="shared" si="50"/>
        <v>364242.33333333331</v>
      </c>
      <c r="AW27" s="1">
        <f t="shared" si="50"/>
        <v>364242.33333333331</v>
      </c>
      <c r="AX27" s="1">
        <f t="shared" si="50"/>
        <v>375169.60333333333</v>
      </c>
      <c r="AY27" s="1">
        <f t="shared" si="50"/>
        <v>375169.60333333333</v>
      </c>
      <c r="AZ27" s="1">
        <f t="shared" si="50"/>
        <v>375169.60333333333</v>
      </c>
      <c r="BA27" s="1">
        <f t="shared" si="50"/>
        <v>375169.60333333333</v>
      </c>
      <c r="BB27" s="1">
        <f t="shared" si="50"/>
        <v>375169.60333333333</v>
      </c>
      <c r="BC27" s="1">
        <f t="shared" si="50"/>
        <v>375169.60333333333</v>
      </c>
      <c r="BD27" s="1">
        <f t="shared" si="50"/>
        <v>375169.60333333333</v>
      </c>
      <c r="BE27" s="1">
        <f t="shared" si="50"/>
        <v>375169.60333333333</v>
      </c>
      <c r="BF27" s="1">
        <f t="shared" si="50"/>
        <v>375169.60333333333</v>
      </c>
      <c r="BG27" s="1">
        <f t="shared" si="50"/>
        <v>375169.60333333333</v>
      </c>
      <c r="BH27" s="1">
        <f t="shared" si="50"/>
        <v>375169.60333333333</v>
      </c>
      <c r="BI27" s="1">
        <f t="shared" si="50"/>
        <v>375169.60333333333</v>
      </c>
      <c r="BJ27" s="1">
        <f t="shared" si="50"/>
        <v>386424.69143333333</v>
      </c>
      <c r="BK27" s="1">
        <f t="shared" si="50"/>
        <v>0</v>
      </c>
      <c r="BL27" s="1">
        <f t="shared" si="50"/>
        <v>0</v>
      </c>
      <c r="BM27" s="1">
        <f t="shared" si="50"/>
        <v>0</v>
      </c>
      <c r="BN27" s="1">
        <f t="shared" si="50"/>
        <v>0</v>
      </c>
      <c r="BO27" s="1">
        <f t="shared" si="50"/>
        <v>0</v>
      </c>
      <c r="BP27" s="1">
        <f t="shared" si="50"/>
        <v>0</v>
      </c>
      <c r="BQ27" s="1">
        <f t="shared" si="50"/>
        <v>0</v>
      </c>
      <c r="BR27" s="1">
        <f t="shared" si="50"/>
        <v>0</v>
      </c>
      <c r="BS27" s="1">
        <f t="shared" ref="BS27:CX27" si="51">+(IF($A27="","",IF($D27&gt;MONTH(BS$16)-MONTH(InicioFuncion)+12*(YEAR(BS$16)-YEAR(InicioFuncion))+1,0,IF($E27&lt;=(MONTH(BS$16)-MONTH(InicioFuncion)+12*(YEAR(BS$16)-YEAR(InicioFuncion)))-$D27+IF($D27&lt;&gt;"",1,0),0,IF(BS$15&gt;$B$9,0,IF((YEAR($B$8)-YEAR($B$7))*12+(MONTH($B$8)-MONTH($B$7))+$E$14&lt;=BR$14,$C27))))*HLOOKUP(YEAR(BS$16),$E$3:$O$5,3,0)))*IF(BS$15&lt;=24,MmtoGarantia3,1)</f>
        <v>0</v>
      </c>
      <c r="BT27" s="1">
        <f t="shared" si="51"/>
        <v>0</v>
      </c>
      <c r="BU27" s="1">
        <f t="shared" si="51"/>
        <v>0</v>
      </c>
      <c r="BV27" s="1">
        <f t="shared" si="51"/>
        <v>0</v>
      </c>
      <c r="BW27" s="1">
        <f t="shared" si="51"/>
        <v>0</v>
      </c>
      <c r="BX27" s="1">
        <f t="shared" si="51"/>
        <v>0</v>
      </c>
      <c r="BY27" s="1">
        <f t="shared" si="51"/>
        <v>0</v>
      </c>
      <c r="BZ27" s="1">
        <f t="shared" si="51"/>
        <v>0</v>
      </c>
      <c r="CA27" s="1">
        <f t="shared" si="51"/>
        <v>0</v>
      </c>
      <c r="CB27" s="1">
        <f t="shared" si="51"/>
        <v>0</v>
      </c>
      <c r="CC27" s="1">
        <f t="shared" si="51"/>
        <v>0</v>
      </c>
      <c r="CD27" s="1">
        <f t="shared" si="51"/>
        <v>0</v>
      </c>
      <c r="CE27" s="1">
        <f t="shared" si="51"/>
        <v>0</v>
      </c>
      <c r="CF27" s="1">
        <f t="shared" si="51"/>
        <v>0</v>
      </c>
      <c r="CG27" s="1">
        <f t="shared" si="51"/>
        <v>0</v>
      </c>
      <c r="CH27" s="1">
        <f t="shared" si="51"/>
        <v>0</v>
      </c>
      <c r="CI27" s="1">
        <f t="shared" si="51"/>
        <v>0</v>
      </c>
      <c r="CJ27" s="1">
        <f t="shared" si="51"/>
        <v>0</v>
      </c>
      <c r="CK27" s="1">
        <f t="shared" si="51"/>
        <v>0</v>
      </c>
      <c r="CL27" s="1">
        <f t="shared" si="51"/>
        <v>0</v>
      </c>
      <c r="CM27" s="1">
        <f t="shared" si="51"/>
        <v>0</v>
      </c>
      <c r="CN27" s="1">
        <f t="shared" si="51"/>
        <v>0</v>
      </c>
      <c r="CO27" s="1">
        <f t="shared" si="51"/>
        <v>0</v>
      </c>
      <c r="CP27" s="1">
        <f t="shared" si="51"/>
        <v>0</v>
      </c>
      <c r="CQ27" s="1">
        <f t="shared" si="51"/>
        <v>0</v>
      </c>
      <c r="CR27" s="1">
        <f t="shared" si="51"/>
        <v>0</v>
      </c>
      <c r="CS27" s="1">
        <f t="shared" si="51"/>
        <v>0</v>
      </c>
      <c r="CT27" s="1">
        <f t="shared" si="51"/>
        <v>0</v>
      </c>
      <c r="CU27" s="1">
        <f t="shared" si="51"/>
        <v>0</v>
      </c>
      <c r="CV27" s="1">
        <f t="shared" si="51"/>
        <v>0</v>
      </c>
      <c r="CW27" s="1">
        <f t="shared" si="51"/>
        <v>0</v>
      </c>
      <c r="CX27" s="1">
        <f t="shared" si="51"/>
        <v>0</v>
      </c>
      <c r="CY27" s="1">
        <f t="shared" ref="CY27:DV27" si="52">+(IF($A27="","",IF($D27&gt;MONTH(CY$16)-MONTH(InicioFuncion)+12*(YEAR(CY$16)-YEAR(InicioFuncion))+1,0,IF($E27&lt;=(MONTH(CY$16)-MONTH(InicioFuncion)+12*(YEAR(CY$16)-YEAR(InicioFuncion)))-$D27+IF($D27&lt;&gt;"",1,0),0,IF(CY$15&gt;$B$9,0,IF((YEAR($B$8)-YEAR($B$7))*12+(MONTH($B$8)-MONTH($B$7))+$E$14&lt;=CX$14,$C27))))*HLOOKUP(YEAR(CY$16),$E$3:$O$5,3,0)))*IF(CY$15&lt;=24,MmtoGarantia3,1)</f>
        <v>0</v>
      </c>
      <c r="CZ27" s="1">
        <f t="shared" si="52"/>
        <v>0</v>
      </c>
      <c r="DA27" s="1">
        <f t="shared" si="52"/>
        <v>0</v>
      </c>
      <c r="DB27" s="1">
        <f t="shared" si="52"/>
        <v>0</v>
      </c>
      <c r="DC27" s="1">
        <f t="shared" si="52"/>
        <v>0</v>
      </c>
      <c r="DD27" s="1">
        <f t="shared" si="52"/>
        <v>0</v>
      </c>
      <c r="DE27" s="1">
        <f t="shared" si="52"/>
        <v>0</v>
      </c>
      <c r="DF27" s="1">
        <f t="shared" si="52"/>
        <v>0</v>
      </c>
      <c r="DG27" s="1">
        <f t="shared" si="52"/>
        <v>0</v>
      </c>
      <c r="DH27" s="1">
        <f t="shared" si="52"/>
        <v>0</v>
      </c>
      <c r="DI27" s="1">
        <f t="shared" si="52"/>
        <v>0</v>
      </c>
      <c r="DJ27" s="1">
        <f t="shared" si="52"/>
        <v>0</v>
      </c>
      <c r="DK27" s="1">
        <f t="shared" si="52"/>
        <v>0</v>
      </c>
      <c r="DL27" s="1">
        <f t="shared" si="52"/>
        <v>0</v>
      </c>
      <c r="DM27" s="1">
        <f t="shared" si="52"/>
        <v>0</v>
      </c>
      <c r="DN27" s="1">
        <f t="shared" si="52"/>
        <v>0</v>
      </c>
      <c r="DO27" s="1">
        <f t="shared" si="52"/>
        <v>0</v>
      </c>
      <c r="DP27" s="1">
        <f t="shared" si="52"/>
        <v>0</v>
      </c>
      <c r="DQ27" s="1">
        <f t="shared" si="52"/>
        <v>0</v>
      </c>
      <c r="DR27" s="1">
        <f t="shared" si="52"/>
        <v>0</v>
      </c>
      <c r="DS27" s="1">
        <f t="shared" si="52"/>
        <v>0</v>
      </c>
      <c r="DT27" s="1">
        <f t="shared" si="52"/>
        <v>0</v>
      </c>
      <c r="DU27" s="1">
        <f t="shared" si="52"/>
        <v>0</v>
      </c>
      <c r="DV27" s="1">
        <f t="shared" si="52"/>
        <v>0</v>
      </c>
    </row>
    <row r="28" spans="1:126" x14ac:dyDescent="0.25">
      <c r="A28" s="26" t="s">
        <v>36</v>
      </c>
      <c r="B28" s="26"/>
      <c r="C28" s="36">
        <f>+IF(EventosMmto="",0,SUMIFS(ValoresMercado,Conceptos,A28,Tipo,TipoEspecifico)/(12/EventosMmtoEquipos))</f>
        <v>500000</v>
      </c>
      <c r="D28" s="35"/>
      <c r="E28" s="35">
        <f>+MesesReconocimiento</f>
        <v>56</v>
      </c>
      <c r="F28" s="1">
        <f t="shared" si="28"/>
        <v>0</v>
      </c>
      <c r="G28" s="1">
        <f t="shared" ref="G28:AL28" si="53">+(IF($A28="","",IF($D28&gt;MONTH(G$16)-MONTH(InicioFuncion)+12*(YEAR(G$16)-YEAR(InicioFuncion))+1,0,IF($E28&lt;=(MONTH(G$16)-MONTH(InicioFuncion)+12*(YEAR(G$16)-YEAR(InicioFuncion)))-$D28+IF($D28&lt;&gt;"",1,0),0,IF(G$15&gt;$B$9,0,IF((YEAR($B$8)-YEAR($B$7))*12+(MONTH($B$8)-MONTH($B$7))+$E$14&lt;=F$14,$C28))))*HLOOKUP(YEAR(G$16),$E$3:$O$5,3,0)))*IF(G$15&lt;=24,MmtoGarantia3,1)</f>
        <v>0</v>
      </c>
      <c r="H28" s="1">
        <f t="shared" si="53"/>
        <v>0</v>
      </c>
      <c r="I28" s="1">
        <f t="shared" si="53"/>
        <v>0</v>
      </c>
      <c r="J28" s="1">
        <f t="shared" si="53"/>
        <v>0</v>
      </c>
      <c r="K28" s="1">
        <f t="shared" si="53"/>
        <v>0</v>
      </c>
      <c r="L28" s="1">
        <f t="shared" si="53"/>
        <v>0</v>
      </c>
      <c r="M28" s="1">
        <f t="shared" si="53"/>
        <v>0</v>
      </c>
      <c r="N28" s="1">
        <f t="shared" si="53"/>
        <v>0</v>
      </c>
      <c r="O28" s="1">
        <f t="shared" si="53"/>
        <v>0</v>
      </c>
      <c r="P28" s="1">
        <f t="shared" si="53"/>
        <v>0</v>
      </c>
      <c r="Q28" s="1">
        <f t="shared" si="53"/>
        <v>0</v>
      </c>
      <c r="R28" s="1">
        <f t="shared" si="53"/>
        <v>0</v>
      </c>
      <c r="S28" s="1">
        <f t="shared" si="53"/>
        <v>0</v>
      </c>
      <c r="T28" s="1">
        <f t="shared" si="53"/>
        <v>0</v>
      </c>
      <c r="U28" s="1">
        <f t="shared" si="53"/>
        <v>0</v>
      </c>
      <c r="V28" s="1">
        <f t="shared" si="53"/>
        <v>0</v>
      </c>
      <c r="W28" s="1">
        <f t="shared" si="53"/>
        <v>0</v>
      </c>
      <c r="X28" s="1">
        <f t="shared" si="53"/>
        <v>0</v>
      </c>
      <c r="Y28" s="1">
        <f t="shared" si="53"/>
        <v>0</v>
      </c>
      <c r="Z28" s="1">
        <f t="shared" si="53"/>
        <v>0</v>
      </c>
      <c r="AA28" s="1">
        <f t="shared" si="53"/>
        <v>0</v>
      </c>
      <c r="AB28" s="1">
        <f t="shared" si="53"/>
        <v>0</v>
      </c>
      <c r="AC28" s="1">
        <f t="shared" si="53"/>
        <v>0</v>
      </c>
      <c r="AD28" s="1">
        <f t="shared" si="53"/>
        <v>0</v>
      </c>
      <c r="AE28" s="1">
        <f t="shared" si="53"/>
        <v>530450</v>
      </c>
      <c r="AF28" s="1">
        <f t="shared" si="53"/>
        <v>530450</v>
      </c>
      <c r="AG28" s="1">
        <f t="shared" si="53"/>
        <v>530450</v>
      </c>
      <c r="AH28" s="1">
        <f t="shared" si="53"/>
        <v>530450</v>
      </c>
      <c r="AI28" s="1">
        <f t="shared" si="53"/>
        <v>530450</v>
      </c>
      <c r="AJ28" s="1">
        <f t="shared" si="53"/>
        <v>530450</v>
      </c>
      <c r="AK28" s="1">
        <f t="shared" si="53"/>
        <v>530450</v>
      </c>
      <c r="AL28" s="1">
        <f t="shared" si="53"/>
        <v>546363.5</v>
      </c>
      <c r="AM28" s="1">
        <f t="shared" ref="AM28:BR28" si="54">+(IF($A28="","",IF($D28&gt;MONTH(AM$16)-MONTH(InicioFuncion)+12*(YEAR(AM$16)-YEAR(InicioFuncion))+1,0,IF($E28&lt;=(MONTH(AM$16)-MONTH(InicioFuncion)+12*(YEAR(AM$16)-YEAR(InicioFuncion)))-$D28+IF($D28&lt;&gt;"",1,0),0,IF(AM$15&gt;$B$9,0,IF((YEAR($B$8)-YEAR($B$7))*12+(MONTH($B$8)-MONTH($B$7))+$E$14&lt;=AL$14,$C28))))*HLOOKUP(YEAR(AM$16),$E$3:$O$5,3,0)))*IF(AM$15&lt;=24,MmtoGarantia3,1)</f>
        <v>546363.5</v>
      </c>
      <c r="AN28" s="1">
        <f t="shared" si="54"/>
        <v>546363.5</v>
      </c>
      <c r="AO28" s="1">
        <f t="shared" si="54"/>
        <v>546363.5</v>
      </c>
      <c r="AP28" s="1">
        <f t="shared" si="54"/>
        <v>546363.5</v>
      </c>
      <c r="AQ28" s="1">
        <f t="shared" si="54"/>
        <v>546363.5</v>
      </c>
      <c r="AR28" s="1">
        <f t="shared" si="54"/>
        <v>546363.5</v>
      </c>
      <c r="AS28" s="1">
        <f t="shared" si="54"/>
        <v>546363.5</v>
      </c>
      <c r="AT28" s="1">
        <f t="shared" si="54"/>
        <v>546363.5</v>
      </c>
      <c r="AU28" s="1">
        <f t="shared" si="54"/>
        <v>546363.5</v>
      </c>
      <c r="AV28" s="1">
        <f t="shared" si="54"/>
        <v>546363.5</v>
      </c>
      <c r="AW28" s="1">
        <f t="shared" si="54"/>
        <v>546363.5</v>
      </c>
      <c r="AX28" s="1">
        <f t="shared" si="54"/>
        <v>562754.40500000003</v>
      </c>
      <c r="AY28" s="1">
        <f t="shared" si="54"/>
        <v>562754.40500000003</v>
      </c>
      <c r="AZ28" s="1">
        <f t="shared" si="54"/>
        <v>562754.40500000003</v>
      </c>
      <c r="BA28" s="1">
        <f t="shared" si="54"/>
        <v>562754.40500000003</v>
      </c>
      <c r="BB28" s="1">
        <f t="shared" si="54"/>
        <v>562754.40500000003</v>
      </c>
      <c r="BC28" s="1">
        <f t="shared" si="54"/>
        <v>562754.40500000003</v>
      </c>
      <c r="BD28" s="1">
        <f t="shared" si="54"/>
        <v>562754.40500000003</v>
      </c>
      <c r="BE28" s="1">
        <f t="shared" si="54"/>
        <v>562754.40500000003</v>
      </c>
      <c r="BF28" s="1">
        <f t="shared" si="54"/>
        <v>562754.40500000003</v>
      </c>
      <c r="BG28" s="1">
        <f t="shared" si="54"/>
        <v>562754.40500000003</v>
      </c>
      <c r="BH28" s="1">
        <f t="shared" si="54"/>
        <v>562754.40500000003</v>
      </c>
      <c r="BI28" s="1">
        <f t="shared" si="54"/>
        <v>562754.40500000003</v>
      </c>
      <c r="BJ28" s="1">
        <f t="shared" si="54"/>
        <v>579637.03714999999</v>
      </c>
      <c r="BK28" s="1">
        <f t="shared" si="54"/>
        <v>0</v>
      </c>
      <c r="BL28" s="1">
        <f t="shared" si="54"/>
        <v>0</v>
      </c>
      <c r="BM28" s="1">
        <f t="shared" si="54"/>
        <v>0</v>
      </c>
      <c r="BN28" s="1">
        <f t="shared" si="54"/>
        <v>0</v>
      </c>
      <c r="BO28" s="1">
        <f t="shared" si="54"/>
        <v>0</v>
      </c>
      <c r="BP28" s="1">
        <f t="shared" si="54"/>
        <v>0</v>
      </c>
      <c r="BQ28" s="1">
        <f t="shared" si="54"/>
        <v>0</v>
      </c>
      <c r="BR28" s="1">
        <f t="shared" si="54"/>
        <v>0</v>
      </c>
      <c r="BS28" s="1">
        <f t="shared" ref="BS28:CX28" si="55">+(IF($A28="","",IF($D28&gt;MONTH(BS$16)-MONTH(InicioFuncion)+12*(YEAR(BS$16)-YEAR(InicioFuncion))+1,0,IF($E28&lt;=(MONTH(BS$16)-MONTH(InicioFuncion)+12*(YEAR(BS$16)-YEAR(InicioFuncion)))-$D28+IF($D28&lt;&gt;"",1,0),0,IF(BS$15&gt;$B$9,0,IF((YEAR($B$8)-YEAR($B$7))*12+(MONTH($B$8)-MONTH($B$7))+$E$14&lt;=BR$14,$C28))))*HLOOKUP(YEAR(BS$16),$E$3:$O$5,3,0)))*IF(BS$15&lt;=24,MmtoGarantia3,1)</f>
        <v>0</v>
      </c>
      <c r="BT28" s="1">
        <f t="shared" si="55"/>
        <v>0</v>
      </c>
      <c r="BU28" s="1">
        <f t="shared" si="55"/>
        <v>0</v>
      </c>
      <c r="BV28" s="1">
        <f t="shared" si="55"/>
        <v>0</v>
      </c>
      <c r="BW28" s="1">
        <f t="shared" si="55"/>
        <v>0</v>
      </c>
      <c r="BX28" s="1">
        <f t="shared" si="55"/>
        <v>0</v>
      </c>
      <c r="BY28" s="1">
        <f t="shared" si="55"/>
        <v>0</v>
      </c>
      <c r="BZ28" s="1">
        <f t="shared" si="55"/>
        <v>0</v>
      </c>
      <c r="CA28" s="1">
        <f t="shared" si="55"/>
        <v>0</v>
      </c>
      <c r="CB28" s="1">
        <f t="shared" si="55"/>
        <v>0</v>
      </c>
      <c r="CC28" s="1">
        <f t="shared" si="55"/>
        <v>0</v>
      </c>
      <c r="CD28" s="1">
        <f t="shared" si="55"/>
        <v>0</v>
      </c>
      <c r="CE28" s="1">
        <f t="shared" si="55"/>
        <v>0</v>
      </c>
      <c r="CF28" s="1">
        <f t="shared" si="55"/>
        <v>0</v>
      </c>
      <c r="CG28" s="1">
        <f t="shared" si="55"/>
        <v>0</v>
      </c>
      <c r="CH28" s="1">
        <f t="shared" si="55"/>
        <v>0</v>
      </c>
      <c r="CI28" s="1">
        <f t="shared" si="55"/>
        <v>0</v>
      </c>
      <c r="CJ28" s="1">
        <f t="shared" si="55"/>
        <v>0</v>
      </c>
      <c r="CK28" s="1">
        <f t="shared" si="55"/>
        <v>0</v>
      </c>
      <c r="CL28" s="1">
        <f t="shared" si="55"/>
        <v>0</v>
      </c>
      <c r="CM28" s="1">
        <f t="shared" si="55"/>
        <v>0</v>
      </c>
      <c r="CN28" s="1">
        <f t="shared" si="55"/>
        <v>0</v>
      </c>
      <c r="CO28" s="1">
        <f t="shared" si="55"/>
        <v>0</v>
      </c>
      <c r="CP28" s="1">
        <f t="shared" si="55"/>
        <v>0</v>
      </c>
      <c r="CQ28" s="1">
        <f t="shared" si="55"/>
        <v>0</v>
      </c>
      <c r="CR28" s="1">
        <f t="shared" si="55"/>
        <v>0</v>
      </c>
      <c r="CS28" s="1">
        <f t="shared" si="55"/>
        <v>0</v>
      </c>
      <c r="CT28" s="1">
        <f t="shared" si="55"/>
        <v>0</v>
      </c>
      <c r="CU28" s="1">
        <f t="shared" si="55"/>
        <v>0</v>
      </c>
      <c r="CV28" s="1">
        <f t="shared" si="55"/>
        <v>0</v>
      </c>
      <c r="CW28" s="1">
        <f t="shared" si="55"/>
        <v>0</v>
      </c>
      <c r="CX28" s="1">
        <f t="shared" si="55"/>
        <v>0</v>
      </c>
      <c r="CY28" s="1">
        <f t="shared" ref="CY28:DV28" si="56">+(IF($A28="","",IF($D28&gt;MONTH(CY$16)-MONTH(InicioFuncion)+12*(YEAR(CY$16)-YEAR(InicioFuncion))+1,0,IF($E28&lt;=(MONTH(CY$16)-MONTH(InicioFuncion)+12*(YEAR(CY$16)-YEAR(InicioFuncion)))-$D28+IF($D28&lt;&gt;"",1,0),0,IF(CY$15&gt;$B$9,0,IF((YEAR($B$8)-YEAR($B$7))*12+(MONTH($B$8)-MONTH($B$7))+$E$14&lt;=CX$14,$C28))))*HLOOKUP(YEAR(CY$16),$E$3:$O$5,3,0)))*IF(CY$15&lt;=24,MmtoGarantia3,1)</f>
        <v>0</v>
      </c>
      <c r="CZ28" s="1">
        <f t="shared" si="56"/>
        <v>0</v>
      </c>
      <c r="DA28" s="1">
        <f t="shared" si="56"/>
        <v>0</v>
      </c>
      <c r="DB28" s="1">
        <f t="shared" si="56"/>
        <v>0</v>
      </c>
      <c r="DC28" s="1">
        <f t="shared" si="56"/>
        <v>0</v>
      </c>
      <c r="DD28" s="1">
        <f t="shared" si="56"/>
        <v>0</v>
      </c>
      <c r="DE28" s="1">
        <f t="shared" si="56"/>
        <v>0</v>
      </c>
      <c r="DF28" s="1">
        <f t="shared" si="56"/>
        <v>0</v>
      </c>
      <c r="DG28" s="1">
        <f t="shared" si="56"/>
        <v>0</v>
      </c>
      <c r="DH28" s="1">
        <f t="shared" si="56"/>
        <v>0</v>
      </c>
      <c r="DI28" s="1">
        <f t="shared" si="56"/>
        <v>0</v>
      </c>
      <c r="DJ28" s="1">
        <f t="shared" si="56"/>
        <v>0</v>
      </c>
      <c r="DK28" s="1">
        <f t="shared" si="56"/>
        <v>0</v>
      </c>
      <c r="DL28" s="1">
        <f t="shared" si="56"/>
        <v>0</v>
      </c>
      <c r="DM28" s="1">
        <f t="shared" si="56"/>
        <v>0</v>
      </c>
      <c r="DN28" s="1">
        <f t="shared" si="56"/>
        <v>0</v>
      </c>
      <c r="DO28" s="1">
        <f t="shared" si="56"/>
        <v>0</v>
      </c>
      <c r="DP28" s="1">
        <f t="shared" si="56"/>
        <v>0</v>
      </c>
      <c r="DQ28" s="1">
        <f t="shared" si="56"/>
        <v>0</v>
      </c>
      <c r="DR28" s="1">
        <f t="shared" si="56"/>
        <v>0</v>
      </c>
      <c r="DS28" s="1">
        <f t="shared" si="56"/>
        <v>0</v>
      </c>
      <c r="DT28" s="1">
        <f t="shared" si="56"/>
        <v>0</v>
      </c>
      <c r="DU28" s="1">
        <f t="shared" si="56"/>
        <v>0</v>
      </c>
      <c r="DV28" s="1">
        <f t="shared" si="56"/>
        <v>0</v>
      </c>
    </row>
    <row r="29" spans="1:126" x14ac:dyDescent="0.25">
      <c r="A29" s="26" t="s">
        <v>41</v>
      </c>
      <c r="B29" s="26"/>
      <c r="C29" s="36">
        <f>+IF(EventosMmto="",0,SUMIFS(ValoresMercado,Conceptos,A29,Tipo,TipoEspecifico,Relacion,KW_EnergiaValor)/(12/EventosMmtoEquipos))</f>
        <v>202149.8659115179</v>
      </c>
      <c r="D29" s="35"/>
      <c r="E29" s="35">
        <f t="shared" si="37"/>
        <v>56</v>
      </c>
      <c r="F29" s="1">
        <f t="shared" si="28"/>
        <v>0</v>
      </c>
      <c r="G29" s="1">
        <f t="shared" ref="G29:AL29" si="57">+(IF($A29="","",IF($D29&gt;MONTH(G$16)-MONTH(InicioFuncion)+12*(YEAR(G$16)-YEAR(InicioFuncion))+1,0,IF($E29&lt;=(MONTH(G$16)-MONTH(InicioFuncion)+12*(YEAR(G$16)-YEAR(InicioFuncion)))-$D29+IF($D29&lt;&gt;"",1,0),0,IF(G$15&gt;$B$9,0,IF((YEAR($B$8)-YEAR($B$7))*12+(MONTH($B$8)-MONTH($B$7))+$E$14&lt;=F$14,$C29))))*HLOOKUP(YEAR(G$16),$E$3:$O$5,3,0)))*IF(G$15&lt;=24,MmtoGarantia3,1)</f>
        <v>0</v>
      </c>
      <c r="H29" s="1">
        <f t="shared" si="57"/>
        <v>0</v>
      </c>
      <c r="I29" s="1">
        <f t="shared" si="57"/>
        <v>0</v>
      </c>
      <c r="J29" s="1">
        <f t="shared" si="57"/>
        <v>0</v>
      </c>
      <c r="K29" s="1">
        <f t="shared" si="57"/>
        <v>0</v>
      </c>
      <c r="L29" s="1">
        <f t="shared" si="57"/>
        <v>0</v>
      </c>
      <c r="M29" s="1">
        <f t="shared" si="57"/>
        <v>0</v>
      </c>
      <c r="N29" s="1">
        <f t="shared" si="57"/>
        <v>0</v>
      </c>
      <c r="O29" s="1">
        <f t="shared" si="57"/>
        <v>0</v>
      </c>
      <c r="P29" s="1">
        <f t="shared" si="57"/>
        <v>0</v>
      </c>
      <c r="Q29" s="1">
        <f t="shared" si="57"/>
        <v>0</v>
      </c>
      <c r="R29" s="1">
        <f t="shared" si="57"/>
        <v>0</v>
      </c>
      <c r="S29" s="1">
        <f t="shared" si="57"/>
        <v>0</v>
      </c>
      <c r="T29" s="1">
        <f t="shared" si="57"/>
        <v>0</v>
      </c>
      <c r="U29" s="1">
        <f t="shared" si="57"/>
        <v>0</v>
      </c>
      <c r="V29" s="1">
        <f t="shared" si="57"/>
        <v>0</v>
      </c>
      <c r="W29" s="1">
        <f t="shared" si="57"/>
        <v>0</v>
      </c>
      <c r="X29" s="1">
        <f t="shared" si="57"/>
        <v>0</v>
      </c>
      <c r="Y29" s="1">
        <f t="shared" si="57"/>
        <v>0</v>
      </c>
      <c r="Z29" s="1">
        <f t="shared" si="57"/>
        <v>0</v>
      </c>
      <c r="AA29" s="1">
        <f t="shared" si="57"/>
        <v>0</v>
      </c>
      <c r="AB29" s="1">
        <f t="shared" si="57"/>
        <v>0</v>
      </c>
      <c r="AC29" s="1">
        <f t="shared" si="57"/>
        <v>0</v>
      </c>
      <c r="AD29" s="1">
        <f t="shared" si="57"/>
        <v>0</v>
      </c>
      <c r="AE29" s="1">
        <f t="shared" si="57"/>
        <v>214460.79274552932</v>
      </c>
      <c r="AF29" s="1">
        <f t="shared" si="57"/>
        <v>214460.79274552932</v>
      </c>
      <c r="AG29" s="1">
        <f t="shared" si="57"/>
        <v>214460.79274552932</v>
      </c>
      <c r="AH29" s="1">
        <f t="shared" si="57"/>
        <v>214460.79274552932</v>
      </c>
      <c r="AI29" s="1">
        <f t="shared" si="57"/>
        <v>214460.79274552932</v>
      </c>
      <c r="AJ29" s="1">
        <f t="shared" si="57"/>
        <v>214460.79274552932</v>
      </c>
      <c r="AK29" s="1">
        <f t="shared" si="57"/>
        <v>214460.79274552932</v>
      </c>
      <c r="AL29" s="1">
        <f t="shared" si="57"/>
        <v>220894.61652789521</v>
      </c>
      <c r="AM29" s="1">
        <f t="shared" ref="AM29:BR29" si="58">+(IF($A29="","",IF($D29&gt;MONTH(AM$16)-MONTH(InicioFuncion)+12*(YEAR(AM$16)-YEAR(InicioFuncion))+1,0,IF($E29&lt;=(MONTH(AM$16)-MONTH(InicioFuncion)+12*(YEAR(AM$16)-YEAR(InicioFuncion)))-$D29+IF($D29&lt;&gt;"",1,0),0,IF(AM$15&gt;$B$9,0,IF((YEAR($B$8)-YEAR($B$7))*12+(MONTH($B$8)-MONTH($B$7))+$E$14&lt;=AL$14,$C29))))*HLOOKUP(YEAR(AM$16),$E$3:$O$5,3,0)))*IF(AM$15&lt;=24,MmtoGarantia3,1)</f>
        <v>220894.61652789521</v>
      </c>
      <c r="AN29" s="1">
        <f t="shared" si="58"/>
        <v>220894.61652789521</v>
      </c>
      <c r="AO29" s="1">
        <f t="shared" si="58"/>
        <v>220894.61652789521</v>
      </c>
      <c r="AP29" s="1">
        <f t="shared" si="58"/>
        <v>220894.61652789521</v>
      </c>
      <c r="AQ29" s="1">
        <f t="shared" si="58"/>
        <v>220894.61652789521</v>
      </c>
      <c r="AR29" s="1">
        <f t="shared" si="58"/>
        <v>220894.61652789521</v>
      </c>
      <c r="AS29" s="1">
        <f t="shared" si="58"/>
        <v>220894.61652789521</v>
      </c>
      <c r="AT29" s="1">
        <f t="shared" si="58"/>
        <v>220894.61652789521</v>
      </c>
      <c r="AU29" s="1">
        <f t="shared" si="58"/>
        <v>220894.61652789521</v>
      </c>
      <c r="AV29" s="1">
        <f t="shared" si="58"/>
        <v>220894.61652789521</v>
      </c>
      <c r="AW29" s="1">
        <f t="shared" si="58"/>
        <v>220894.61652789521</v>
      </c>
      <c r="AX29" s="1">
        <f t="shared" si="58"/>
        <v>227521.45502373209</v>
      </c>
      <c r="AY29" s="1">
        <f t="shared" si="58"/>
        <v>227521.45502373209</v>
      </c>
      <c r="AZ29" s="1">
        <f t="shared" si="58"/>
        <v>227521.45502373209</v>
      </c>
      <c r="BA29" s="1">
        <f t="shared" si="58"/>
        <v>227521.45502373209</v>
      </c>
      <c r="BB29" s="1">
        <f t="shared" si="58"/>
        <v>227521.45502373209</v>
      </c>
      <c r="BC29" s="1">
        <f t="shared" si="58"/>
        <v>227521.45502373209</v>
      </c>
      <c r="BD29" s="1">
        <f t="shared" si="58"/>
        <v>227521.45502373209</v>
      </c>
      <c r="BE29" s="1">
        <f t="shared" si="58"/>
        <v>227521.45502373209</v>
      </c>
      <c r="BF29" s="1">
        <f t="shared" si="58"/>
        <v>227521.45502373209</v>
      </c>
      <c r="BG29" s="1">
        <f t="shared" si="58"/>
        <v>227521.45502373209</v>
      </c>
      <c r="BH29" s="1">
        <f t="shared" si="58"/>
        <v>227521.45502373209</v>
      </c>
      <c r="BI29" s="1">
        <f t="shared" si="58"/>
        <v>227521.45502373209</v>
      </c>
      <c r="BJ29" s="1">
        <f t="shared" si="58"/>
        <v>234347.09867444405</v>
      </c>
      <c r="BK29" s="1">
        <f t="shared" si="58"/>
        <v>0</v>
      </c>
      <c r="BL29" s="1">
        <f t="shared" si="58"/>
        <v>0</v>
      </c>
      <c r="BM29" s="1">
        <f t="shared" si="58"/>
        <v>0</v>
      </c>
      <c r="BN29" s="1">
        <f t="shared" si="58"/>
        <v>0</v>
      </c>
      <c r="BO29" s="1">
        <f t="shared" si="58"/>
        <v>0</v>
      </c>
      <c r="BP29" s="1">
        <f t="shared" si="58"/>
        <v>0</v>
      </c>
      <c r="BQ29" s="1">
        <f t="shared" si="58"/>
        <v>0</v>
      </c>
      <c r="BR29" s="1">
        <f t="shared" si="58"/>
        <v>0</v>
      </c>
      <c r="BS29" s="1">
        <f t="shared" ref="BS29:CX29" si="59">+(IF($A29="","",IF($D29&gt;MONTH(BS$16)-MONTH(InicioFuncion)+12*(YEAR(BS$16)-YEAR(InicioFuncion))+1,0,IF($E29&lt;=(MONTH(BS$16)-MONTH(InicioFuncion)+12*(YEAR(BS$16)-YEAR(InicioFuncion)))-$D29+IF($D29&lt;&gt;"",1,0),0,IF(BS$15&gt;$B$9,0,IF((YEAR($B$8)-YEAR($B$7))*12+(MONTH($B$8)-MONTH($B$7))+$E$14&lt;=BR$14,$C29))))*HLOOKUP(YEAR(BS$16),$E$3:$O$5,3,0)))*IF(BS$15&lt;=24,MmtoGarantia3,1)</f>
        <v>0</v>
      </c>
      <c r="BT29" s="1">
        <f t="shared" si="59"/>
        <v>0</v>
      </c>
      <c r="BU29" s="1">
        <f t="shared" si="59"/>
        <v>0</v>
      </c>
      <c r="BV29" s="1">
        <f t="shared" si="59"/>
        <v>0</v>
      </c>
      <c r="BW29" s="1">
        <f t="shared" si="59"/>
        <v>0</v>
      </c>
      <c r="BX29" s="1">
        <f t="shared" si="59"/>
        <v>0</v>
      </c>
      <c r="BY29" s="1">
        <f t="shared" si="59"/>
        <v>0</v>
      </c>
      <c r="BZ29" s="1">
        <f t="shared" si="59"/>
        <v>0</v>
      </c>
      <c r="CA29" s="1">
        <f t="shared" si="59"/>
        <v>0</v>
      </c>
      <c r="CB29" s="1">
        <f t="shared" si="59"/>
        <v>0</v>
      </c>
      <c r="CC29" s="1">
        <f t="shared" si="59"/>
        <v>0</v>
      </c>
      <c r="CD29" s="1">
        <f t="shared" si="59"/>
        <v>0</v>
      </c>
      <c r="CE29" s="1">
        <f t="shared" si="59"/>
        <v>0</v>
      </c>
      <c r="CF29" s="1">
        <f t="shared" si="59"/>
        <v>0</v>
      </c>
      <c r="CG29" s="1">
        <f t="shared" si="59"/>
        <v>0</v>
      </c>
      <c r="CH29" s="1">
        <f t="shared" si="59"/>
        <v>0</v>
      </c>
      <c r="CI29" s="1">
        <f t="shared" si="59"/>
        <v>0</v>
      </c>
      <c r="CJ29" s="1">
        <f t="shared" si="59"/>
        <v>0</v>
      </c>
      <c r="CK29" s="1">
        <f t="shared" si="59"/>
        <v>0</v>
      </c>
      <c r="CL29" s="1">
        <f t="shared" si="59"/>
        <v>0</v>
      </c>
      <c r="CM29" s="1">
        <f t="shared" si="59"/>
        <v>0</v>
      </c>
      <c r="CN29" s="1">
        <f t="shared" si="59"/>
        <v>0</v>
      </c>
      <c r="CO29" s="1">
        <f t="shared" si="59"/>
        <v>0</v>
      </c>
      <c r="CP29" s="1">
        <f t="shared" si="59"/>
        <v>0</v>
      </c>
      <c r="CQ29" s="1">
        <f t="shared" si="59"/>
        <v>0</v>
      </c>
      <c r="CR29" s="1">
        <f t="shared" si="59"/>
        <v>0</v>
      </c>
      <c r="CS29" s="1">
        <f t="shared" si="59"/>
        <v>0</v>
      </c>
      <c r="CT29" s="1">
        <f t="shared" si="59"/>
        <v>0</v>
      </c>
      <c r="CU29" s="1">
        <f t="shared" si="59"/>
        <v>0</v>
      </c>
      <c r="CV29" s="1">
        <f t="shared" si="59"/>
        <v>0</v>
      </c>
      <c r="CW29" s="1">
        <f t="shared" si="59"/>
        <v>0</v>
      </c>
      <c r="CX29" s="1">
        <f t="shared" si="59"/>
        <v>0</v>
      </c>
      <c r="CY29" s="1">
        <f t="shared" ref="CY29:DV29" si="60">+(IF($A29="","",IF($D29&gt;MONTH(CY$16)-MONTH(InicioFuncion)+12*(YEAR(CY$16)-YEAR(InicioFuncion))+1,0,IF($E29&lt;=(MONTH(CY$16)-MONTH(InicioFuncion)+12*(YEAR(CY$16)-YEAR(InicioFuncion)))-$D29+IF($D29&lt;&gt;"",1,0),0,IF(CY$15&gt;$B$9,0,IF((YEAR($B$8)-YEAR($B$7))*12+(MONTH($B$8)-MONTH($B$7))+$E$14&lt;=CX$14,$C29))))*HLOOKUP(YEAR(CY$16),$E$3:$O$5,3,0)))*IF(CY$15&lt;=24,MmtoGarantia3,1)</f>
        <v>0</v>
      </c>
      <c r="CZ29" s="1">
        <f t="shared" si="60"/>
        <v>0</v>
      </c>
      <c r="DA29" s="1">
        <f t="shared" si="60"/>
        <v>0</v>
      </c>
      <c r="DB29" s="1">
        <f t="shared" si="60"/>
        <v>0</v>
      </c>
      <c r="DC29" s="1">
        <f t="shared" si="60"/>
        <v>0</v>
      </c>
      <c r="DD29" s="1">
        <f t="shared" si="60"/>
        <v>0</v>
      </c>
      <c r="DE29" s="1">
        <f t="shared" si="60"/>
        <v>0</v>
      </c>
      <c r="DF29" s="1">
        <f t="shared" si="60"/>
        <v>0</v>
      </c>
      <c r="DG29" s="1">
        <f t="shared" si="60"/>
        <v>0</v>
      </c>
      <c r="DH29" s="1">
        <f t="shared" si="60"/>
        <v>0</v>
      </c>
      <c r="DI29" s="1">
        <f t="shared" si="60"/>
        <v>0</v>
      </c>
      <c r="DJ29" s="1">
        <f t="shared" si="60"/>
        <v>0</v>
      </c>
      <c r="DK29" s="1">
        <f t="shared" si="60"/>
        <v>0</v>
      </c>
      <c r="DL29" s="1">
        <f t="shared" si="60"/>
        <v>0</v>
      </c>
      <c r="DM29" s="1">
        <f t="shared" si="60"/>
        <v>0</v>
      </c>
      <c r="DN29" s="1">
        <f t="shared" si="60"/>
        <v>0</v>
      </c>
      <c r="DO29" s="1">
        <f t="shared" si="60"/>
        <v>0</v>
      </c>
      <c r="DP29" s="1">
        <f t="shared" si="60"/>
        <v>0</v>
      </c>
      <c r="DQ29" s="1">
        <f t="shared" si="60"/>
        <v>0</v>
      </c>
      <c r="DR29" s="1">
        <f t="shared" si="60"/>
        <v>0</v>
      </c>
      <c r="DS29" s="1">
        <f t="shared" si="60"/>
        <v>0</v>
      </c>
      <c r="DT29" s="1">
        <f t="shared" si="60"/>
        <v>0</v>
      </c>
      <c r="DU29" s="1">
        <f t="shared" si="60"/>
        <v>0</v>
      </c>
      <c r="DV29" s="1">
        <f t="shared" si="60"/>
        <v>0</v>
      </c>
    </row>
    <row r="30" spans="1:126" x14ac:dyDescent="0.25">
      <c r="A30" s="26" t="s">
        <v>42</v>
      </c>
      <c r="B30" s="26"/>
      <c r="C30" s="36">
        <f>+IF(EventosMmto="",0,SUMIFS(ValoresMercado,Conceptos,A30,Tipo,TipoEspecifico,Relacion,KW_EnergiaValor)/(12/EventosMmtoEquipos))</f>
        <v>166666.66666666666</v>
      </c>
      <c r="D30" s="35"/>
      <c r="E30" s="35">
        <f t="shared" si="37"/>
        <v>56</v>
      </c>
      <c r="F30" s="1">
        <f t="shared" si="28"/>
        <v>0</v>
      </c>
      <c r="G30" s="1">
        <f t="shared" ref="G30:AL30" si="61">+(IF($A30="","",IF($D30&gt;MONTH(G$16)-MONTH(InicioFuncion)+12*(YEAR(G$16)-YEAR(InicioFuncion))+1,0,IF($E30&lt;=(MONTH(G$16)-MONTH(InicioFuncion)+12*(YEAR(G$16)-YEAR(InicioFuncion)))-$D30+IF($D30&lt;&gt;"",1,0),0,IF(G$15&gt;$B$9,0,IF((YEAR($B$8)-YEAR($B$7))*12+(MONTH($B$8)-MONTH($B$7))+$E$14&lt;=F$14,$C30))))*HLOOKUP(YEAR(G$16),$E$3:$O$5,3,0)))*IF(G$15&lt;=24,MmtoGarantia3,1)</f>
        <v>0</v>
      </c>
      <c r="H30" s="1">
        <f t="shared" si="61"/>
        <v>0</v>
      </c>
      <c r="I30" s="1">
        <f t="shared" si="61"/>
        <v>0</v>
      </c>
      <c r="J30" s="1">
        <f t="shared" si="61"/>
        <v>0</v>
      </c>
      <c r="K30" s="1">
        <f t="shared" si="61"/>
        <v>0</v>
      </c>
      <c r="L30" s="1">
        <f t="shared" si="61"/>
        <v>0</v>
      </c>
      <c r="M30" s="1">
        <f t="shared" si="61"/>
        <v>0</v>
      </c>
      <c r="N30" s="1">
        <f t="shared" si="61"/>
        <v>0</v>
      </c>
      <c r="O30" s="1">
        <f t="shared" si="61"/>
        <v>0</v>
      </c>
      <c r="P30" s="1">
        <f t="shared" si="61"/>
        <v>0</v>
      </c>
      <c r="Q30" s="1">
        <f t="shared" si="61"/>
        <v>0</v>
      </c>
      <c r="R30" s="1">
        <f t="shared" si="61"/>
        <v>0</v>
      </c>
      <c r="S30" s="1">
        <f t="shared" si="61"/>
        <v>0</v>
      </c>
      <c r="T30" s="1">
        <f t="shared" si="61"/>
        <v>0</v>
      </c>
      <c r="U30" s="1">
        <f t="shared" si="61"/>
        <v>0</v>
      </c>
      <c r="V30" s="1">
        <f t="shared" si="61"/>
        <v>0</v>
      </c>
      <c r="W30" s="1">
        <f t="shared" si="61"/>
        <v>0</v>
      </c>
      <c r="X30" s="1">
        <f t="shared" si="61"/>
        <v>0</v>
      </c>
      <c r="Y30" s="1">
        <f t="shared" si="61"/>
        <v>0</v>
      </c>
      <c r="Z30" s="1">
        <f t="shared" si="61"/>
        <v>0</v>
      </c>
      <c r="AA30" s="1">
        <f t="shared" si="61"/>
        <v>0</v>
      </c>
      <c r="AB30" s="1">
        <f t="shared" si="61"/>
        <v>0</v>
      </c>
      <c r="AC30" s="1">
        <f t="shared" si="61"/>
        <v>0</v>
      </c>
      <c r="AD30" s="1">
        <f t="shared" si="61"/>
        <v>0</v>
      </c>
      <c r="AE30" s="1">
        <f t="shared" si="61"/>
        <v>176816.66666666666</v>
      </c>
      <c r="AF30" s="1">
        <f t="shared" si="61"/>
        <v>176816.66666666666</v>
      </c>
      <c r="AG30" s="1">
        <f t="shared" si="61"/>
        <v>176816.66666666666</v>
      </c>
      <c r="AH30" s="1">
        <f t="shared" si="61"/>
        <v>176816.66666666666</v>
      </c>
      <c r="AI30" s="1">
        <f t="shared" si="61"/>
        <v>176816.66666666666</v>
      </c>
      <c r="AJ30" s="1">
        <f t="shared" si="61"/>
        <v>176816.66666666666</v>
      </c>
      <c r="AK30" s="1">
        <f t="shared" si="61"/>
        <v>176816.66666666666</v>
      </c>
      <c r="AL30" s="1">
        <f t="shared" si="61"/>
        <v>182121.16666666666</v>
      </c>
      <c r="AM30" s="1">
        <f t="shared" ref="AM30:BR30" si="62">+(IF($A30="","",IF($D30&gt;MONTH(AM$16)-MONTH(InicioFuncion)+12*(YEAR(AM$16)-YEAR(InicioFuncion))+1,0,IF($E30&lt;=(MONTH(AM$16)-MONTH(InicioFuncion)+12*(YEAR(AM$16)-YEAR(InicioFuncion)))-$D30+IF($D30&lt;&gt;"",1,0),0,IF(AM$15&gt;$B$9,0,IF((YEAR($B$8)-YEAR($B$7))*12+(MONTH($B$8)-MONTH($B$7))+$E$14&lt;=AL$14,$C30))))*HLOOKUP(YEAR(AM$16),$E$3:$O$5,3,0)))*IF(AM$15&lt;=24,MmtoGarantia3,1)</f>
        <v>182121.16666666666</v>
      </c>
      <c r="AN30" s="1">
        <f t="shared" si="62"/>
        <v>182121.16666666666</v>
      </c>
      <c r="AO30" s="1">
        <f t="shared" si="62"/>
        <v>182121.16666666666</v>
      </c>
      <c r="AP30" s="1">
        <f t="shared" si="62"/>
        <v>182121.16666666666</v>
      </c>
      <c r="AQ30" s="1">
        <f t="shared" si="62"/>
        <v>182121.16666666666</v>
      </c>
      <c r="AR30" s="1">
        <f t="shared" si="62"/>
        <v>182121.16666666666</v>
      </c>
      <c r="AS30" s="1">
        <f t="shared" si="62"/>
        <v>182121.16666666666</v>
      </c>
      <c r="AT30" s="1">
        <f t="shared" si="62"/>
        <v>182121.16666666666</v>
      </c>
      <c r="AU30" s="1">
        <f t="shared" si="62"/>
        <v>182121.16666666666</v>
      </c>
      <c r="AV30" s="1">
        <f t="shared" si="62"/>
        <v>182121.16666666666</v>
      </c>
      <c r="AW30" s="1">
        <f t="shared" si="62"/>
        <v>182121.16666666666</v>
      </c>
      <c r="AX30" s="1">
        <f t="shared" si="62"/>
        <v>187584.80166666667</v>
      </c>
      <c r="AY30" s="1">
        <f t="shared" si="62"/>
        <v>187584.80166666667</v>
      </c>
      <c r="AZ30" s="1">
        <f t="shared" si="62"/>
        <v>187584.80166666667</v>
      </c>
      <c r="BA30" s="1">
        <f t="shared" si="62"/>
        <v>187584.80166666667</v>
      </c>
      <c r="BB30" s="1">
        <f t="shared" si="62"/>
        <v>187584.80166666667</v>
      </c>
      <c r="BC30" s="1">
        <f t="shared" si="62"/>
        <v>187584.80166666667</v>
      </c>
      <c r="BD30" s="1">
        <f t="shared" si="62"/>
        <v>187584.80166666667</v>
      </c>
      <c r="BE30" s="1">
        <f t="shared" si="62"/>
        <v>187584.80166666667</v>
      </c>
      <c r="BF30" s="1">
        <f t="shared" si="62"/>
        <v>187584.80166666667</v>
      </c>
      <c r="BG30" s="1">
        <f t="shared" si="62"/>
        <v>187584.80166666667</v>
      </c>
      <c r="BH30" s="1">
        <f t="shared" si="62"/>
        <v>187584.80166666667</v>
      </c>
      <c r="BI30" s="1">
        <f t="shared" si="62"/>
        <v>187584.80166666667</v>
      </c>
      <c r="BJ30" s="1">
        <f t="shared" si="62"/>
        <v>193212.34571666666</v>
      </c>
      <c r="BK30" s="1">
        <f t="shared" si="62"/>
        <v>0</v>
      </c>
      <c r="BL30" s="1">
        <f t="shared" si="62"/>
        <v>0</v>
      </c>
      <c r="BM30" s="1">
        <f t="shared" si="62"/>
        <v>0</v>
      </c>
      <c r="BN30" s="1">
        <f t="shared" si="62"/>
        <v>0</v>
      </c>
      <c r="BO30" s="1">
        <f t="shared" si="62"/>
        <v>0</v>
      </c>
      <c r="BP30" s="1">
        <f t="shared" si="62"/>
        <v>0</v>
      </c>
      <c r="BQ30" s="1">
        <f t="shared" si="62"/>
        <v>0</v>
      </c>
      <c r="BR30" s="1">
        <f t="shared" si="62"/>
        <v>0</v>
      </c>
      <c r="BS30" s="1">
        <f t="shared" ref="BS30:CX30" si="63">+(IF($A30="","",IF($D30&gt;MONTH(BS$16)-MONTH(InicioFuncion)+12*(YEAR(BS$16)-YEAR(InicioFuncion))+1,0,IF($E30&lt;=(MONTH(BS$16)-MONTH(InicioFuncion)+12*(YEAR(BS$16)-YEAR(InicioFuncion)))-$D30+IF($D30&lt;&gt;"",1,0),0,IF(BS$15&gt;$B$9,0,IF((YEAR($B$8)-YEAR($B$7))*12+(MONTH($B$8)-MONTH($B$7))+$E$14&lt;=BR$14,$C30))))*HLOOKUP(YEAR(BS$16),$E$3:$O$5,3,0)))*IF(BS$15&lt;=24,MmtoGarantia3,1)</f>
        <v>0</v>
      </c>
      <c r="BT30" s="1">
        <f t="shared" si="63"/>
        <v>0</v>
      </c>
      <c r="BU30" s="1">
        <f t="shared" si="63"/>
        <v>0</v>
      </c>
      <c r="BV30" s="1">
        <f t="shared" si="63"/>
        <v>0</v>
      </c>
      <c r="BW30" s="1">
        <f t="shared" si="63"/>
        <v>0</v>
      </c>
      <c r="BX30" s="1">
        <f t="shared" si="63"/>
        <v>0</v>
      </c>
      <c r="BY30" s="1">
        <f t="shared" si="63"/>
        <v>0</v>
      </c>
      <c r="BZ30" s="1">
        <f t="shared" si="63"/>
        <v>0</v>
      </c>
      <c r="CA30" s="1">
        <f t="shared" si="63"/>
        <v>0</v>
      </c>
      <c r="CB30" s="1">
        <f t="shared" si="63"/>
        <v>0</v>
      </c>
      <c r="CC30" s="1">
        <f t="shared" si="63"/>
        <v>0</v>
      </c>
      <c r="CD30" s="1">
        <f t="shared" si="63"/>
        <v>0</v>
      </c>
      <c r="CE30" s="1">
        <f t="shared" si="63"/>
        <v>0</v>
      </c>
      <c r="CF30" s="1">
        <f t="shared" si="63"/>
        <v>0</v>
      </c>
      <c r="CG30" s="1">
        <f t="shared" si="63"/>
        <v>0</v>
      </c>
      <c r="CH30" s="1">
        <f t="shared" si="63"/>
        <v>0</v>
      </c>
      <c r="CI30" s="1">
        <f t="shared" si="63"/>
        <v>0</v>
      </c>
      <c r="CJ30" s="1">
        <f t="shared" si="63"/>
        <v>0</v>
      </c>
      <c r="CK30" s="1">
        <f t="shared" si="63"/>
        <v>0</v>
      </c>
      <c r="CL30" s="1">
        <f t="shared" si="63"/>
        <v>0</v>
      </c>
      <c r="CM30" s="1">
        <f t="shared" si="63"/>
        <v>0</v>
      </c>
      <c r="CN30" s="1">
        <f t="shared" si="63"/>
        <v>0</v>
      </c>
      <c r="CO30" s="1">
        <f t="shared" si="63"/>
        <v>0</v>
      </c>
      <c r="CP30" s="1">
        <f t="shared" si="63"/>
        <v>0</v>
      </c>
      <c r="CQ30" s="1">
        <f t="shared" si="63"/>
        <v>0</v>
      </c>
      <c r="CR30" s="1">
        <f t="shared" si="63"/>
        <v>0</v>
      </c>
      <c r="CS30" s="1">
        <f t="shared" si="63"/>
        <v>0</v>
      </c>
      <c r="CT30" s="1">
        <f t="shared" si="63"/>
        <v>0</v>
      </c>
      <c r="CU30" s="1">
        <f t="shared" si="63"/>
        <v>0</v>
      </c>
      <c r="CV30" s="1">
        <f t="shared" si="63"/>
        <v>0</v>
      </c>
      <c r="CW30" s="1">
        <f t="shared" si="63"/>
        <v>0</v>
      </c>
      <c r="CX30" s="1">
        <f t="shared" si="63"/>
        <v>0</v>
      </c>
      <c r="CY30" s="1">
        <f t="shared" ref="CY30:DV30" si="64">+(IF($A30="","",IF($D30&gt;MONTH(CY$16)-MONTH(InicioFuncion)+12*(YEAR(CY$16)-YEAR(InicioFuncion))+1,0,IF($E30&lt;=(MONTH(CY$16)-MONTH(InicioFuncion)+12*(YEAR(CY$16)-YEAR(InicioFuncion)))-$D30+IF($D30&lt;&gt;"",1,0),0,IF(CY$15&gt;$B$9,0,IF((YEAR($B$8)-YEAR($B$7))*12+(MONTH($B$8)-MONTH($B$7))+$E$14&lt;=CX$14,$C30))))*HLOOKUP(YEAR(CY$16),$E$3:$O$5,3,0)))*IF(CY$15&lt;=24,MmtoGarantia3,1)</f>
        <v>0</v>
      </c>
      <c r="CZ30" s="1">
        <f t="shared" si="64"/>
        <v>0</v>
      </c>
      <c r="DA30" s="1">
        <f t="shared" si="64"/>
        <v>0</v>
      </c>
      <c r="DB30" s="1">
        <f t="shared" si="64"/>
        <v>0</v>
      </c>
      <c r="DC30" s="1">
        <f t="shared" si="64"/>
        <v>0</v>
      </c>
      <c r="DD30" s="1">
        <f t="shared" si="64"/>
        <v>0</v>
      </c>
      <c r="DE30" s="1">
        <f t="shared" si="64"/>
        <v>0</v>
      </c>
      <c r="DF30" s="1">
        <f t="shared" si="64"/>
        <v>0</v>
      </c>
      <c r="DG30" s="1">
        <f t="shared" si="64"/>
        <v>0</v>
      </c>
      <c r="DH30" s="1">
        <f t="shared" si="64"/>
        <v>0</v>
      </c>
      <c r="DI30" s="1">
        <f t="shared" si="64"/>
        <v>0</v>
      </c>
      <c r="DJ30" s="1">
        <f t="shared" si="64"/>
        <v>0</v>
      </c>
      <c r="DK30" s="1">
        <f t="shared" si="64"/>
        <v>0</v>
      </c>
      <c r="DL30" s="1">
        <f t="shared" si="64"/>
        <v>0</v>
      </c>
      <c r="DM30" s="1">
        <f t="shared" si="64"/>
        <v>0</v>
      </c>
      <c r="DN30" s="1">
        <f t="shared" si="64"/>
        <v>0</v>
      </c>
      <c r="DO30" s="1">
        <f t="shared" si="64"/>
        <v>0</v>
      </c>
      <c r="DP30" s="1">
        <f t="shared" si="64"/>
        <v>0</v>
      </c>
      <c r="DQ30" s="1">
        <f t="shared" si="64"/>
        <v>0</v>
      </c>
      <c r="DR30" s="1">
        <f t="shared" si="64"/>
        <v>0</v>
      </c>
      <c r="DS30" s="1">
        <f t="shared" si="64"/>
        <v>0</v>
      </c>
      <c r="DT30" s="1">
        <f t="shared" si="64"/>
        <v>0</v>
      </c>
      <c r="DU30" s="1">
        <f t="shared" si="64"/>
        <v>0</v>
      </c>
      <c r="DV30" s="1">
        <f t="shared" si="64"/>
        <v>0</v>
      </c>
    </row>
    <row r="31" spans="1:126" x14ac:dyDescent="0.25">
      <c r="A31" s="26" t="s">
        <v>34</v>
      </c>
      <c r="B31" s="26"/>
      <c r="C31" s="36">
        <f>+SUMIFS(ValoresMercado,Conceptos,A31,Tipo,TipoEspecifico)/12</f>
        <v>246909.65362483228</v>
      </c>
      <c r="D31" s="35"/>
      <c r="E31" s="35">
        <f t="shared" si="37"/>
        <v>56</v>
      </c>
      <c r="F31" s="1">
        <f t="shared" si="28"/>
        <v>0</v>
      </c>
      <c r="G31" s="1">
        <f t="shared" ref="G31:G32" si="65">+(IF($A31="","",IF(G$15&gt;12,IF($D31&gt;MONTH(G$16)-MONTH(InicioFuncion)+12*(YEAR(G$16)-YEAR(InicioFuncion))+1,0,IF($E31&lt;=(MONTH(G$16)-MONTH(InicioFuncion)+12*(YEAR(G$16)-YEAR(InicioFuncion)))-$D31+IF($D31&lt;&gt;"",1,0),0,IF(G$15&gt;$B$9,0,IF((YEAR($B$8)-YEAR($B$7))*12+(MONTH($B$8)-MONTH($B$7))+$E$14&lt;=F$14,$C31))))*HLOOKUP(YEAR(G$16),$E$3:$O$5,3,0),0)))</f>
        <v>0</v>
      </c>
      <c r="H31" s="1">
        <f t="shared" ref="H31:H35" si="66">+(IF($A31="","",IF(H$15&gt;12,IF($D31&gt;MONTH(H$16)-MONTH(InicioFuncion)+12*(YEAR(H$16)-YEAR(InicioFuncion))+1,0,IF($E31&lt;=(MONTH(H$16)-MONTH(InicioFuncion)+12*(YEAR(H$16)-YEAR(InicioFuncion)))-$D31+IF($D31&lt;&gt;"",1,0),0,IF(H$15&gt;$B$9,0,IF((YEAR($B$8)-YEAR($B$7))*12+(MONTH($B$8)-MONTH($B$7))+$E$14&lt;=G$14,$C31))))*HLOOKUP(YEAR(H$16),$E$3:$O$5,3,0),0)))</f>
        <v>0</v>
      </c>
      <c r="I31" s="1">
        <f t="shared" ref="I31:I35" si="67">+(IF($A31="","",IF(I$15&gt;12,IF($D31&gt;MONTH(I$16)-MONTH(InicioFuncion)+12*(YEAR(I$16)-YEAR(InicioFuncion))+1,0,IF($E31&lt;=(MONTH(I$16)-MONTH(InicioFuncion)+12*(YEAR(I$16)-YEAR(InicioFuncion)))-$D31+IF($D31&lt;&gt;"",1,0),0,IF(I$15&gt;$B$9,0,IF((YEAR($B$8)-YEAR($B$7))*12+(MONTH($B$8)-MONTH($B$7))+$E$14&lt;=H$14,$C31))))*HLOOKUP(YEAR(I$16),$E$3:$O$5,3,0),0)))</f>
        <v>0</v>
      </c>
      <c r="J31" s="1">
        <f t="shared" ref="J31:J35" si="68">+(IF($A31="","",IF(J$15&gt;12,IF($D31&gt;MONTH(J$16)-MONTH(InicioFuncion)+12*(YEAR(J$16)-YEAR(InicioFuncion))+1,0,IF($E31&lt;=(MONTH(J$16)-MONTH(InicioFuncion)+12*(YEAR(J$16)-YEAR(InicioFuncion)))-$D31+IF($D31&lt;&gt;"",1,0),0,IF(J$15&gt;$B$9,0,IF((YEAR($B$8)-YEAR($B$7))*12+(MONTH($B$8)-MONTH($B$7))+$E$14&lt;=I$14,$C31))))*HLOOKUP(YEAR(J$16),$E$3:$O$5,3,0),0)))</f>
        <v>0</v>
      </c>
      <c r="K31" s="1">
        <f t="shared" ref="K31:K35" si="69">+(IF($A31="","",IF(K$15&gt;12,IF($D31&gt;MONTH(K$16)-MONTH(InicioFuncion)+12*(YEAR(K$16)-YEAR(InicioFuncion))+1,0,IF($E31&lt;=(MONTH(K$16)-MONTH(InicioFuncion)+12*(YEAR(K$16)-YEAR(InicioFuncion)))-$D31+IF($D31&lt;&gt;"",1,0),0,IF(K$15&gt;$B$9,0,IF((YEAR($B$8)-YEAR($B$7))*12+(MONTH($B$8)-MONTH($B$7))+$E$14&lt;=J$14,$C31))))*HLOOKUP(YEAR(K$16),$E$3:$O$5,3,0),0)))</f>
        <v>0</v>
      </c>
      <c r="L31" s="1">
        <f t="shared" ref="L31:L35" si="70">+(IF($A31="","",IF(L$15&gt;12,IF($D31&gt;MONTH(L$16)-MONTH(InicioFuncion)+12*(YEAR(L$16)-YEAR(InicioFuncion))+1,0,IF($E31&lt;=(MONTH(L$16)-MONTH(InicioFuncion)+12*(YEAR(L$16)-YEAR(InicioFuncion)))-$D31+IF($D31&lt;&gt;"",1,0),0,IF(L$15&gt;$B$9,0,IF((YEAR($B$8)-YEAR($B$7))*12+(MONTH($B$8)-MONTH($B$7))+$E$14&lt;=K$14,$C31))))*HLOOKUP(YEAR(L$16),$E$3:$O$5,3,0),0)))</f>
        <v>0</v>
      </c>
      <c r="M31" s="1">
        <f t="shared" ref="M31:M35" si="71">+(IF($A31="","",IF(M$15&gt;12,IF($D31&gt;MONTH(M$16)-MONTH(InicioFuncion)+12*(YEAR(M$16)-YEAR(InicioFuncion))+1,0,IF($E31&lt;=(MONTH(M$16)-MONTH(InicioFuncion)+12*(YEAR(M$16)-YEAR(InicioFuncion)))-$D31+IF($D31&lt;&gt;"",1,0),0,IF(M$15&gt;$B$9,0,IF((YEAR($B$8)-YEAR($B$7))*12+(MONTH($B$8)-MONTH($B$7))+$E$14&lt;=L$14,$C31))))*HLOOKUP(YEAR(M$16),$E$3:$O$5,3,0),0)))</f>
        <v>0</v>
      </c>
      <c r="N31" s="1">
        <f t="shared" ref="N31:N35" si="72">+(IF($A31="","",IF(N$15&gt;12,IF($D31&gt;MONTH(N$16)-MONTH(InicioFuncion)+12*(YEAR(N$16)-YEAR(InicioFuncion))+1,0,IF($E31&lt;=(MONTH(N$16)-MONTH(InicioFuncion)+12*(YEAR(N$16)-YEAR(InicioFuncion)))-$D31+IF($D31&lt;&gt;"",1,0),0,IF(N$15&gt;$B$9,0,IF((YEAR($B$8)-YEAR($B$7))*12+(MONTH($B$8)-MONTH($B$7))+$E$14&lt;=M$14,$C31))))*HLOOKUP(YEAR(N$16),$E$3:$O$5,3,0),0)))</f>
        <v>0</v>
      </c>
      <c r="O31" s="1">
        <f t="shared" ref="O31:O35" si="73">+(IF($A31="","",IF(O$15&gt;12,IF($D31&gt;MONTH(O$16)-MONTH(InicioFuncion)+12*(YEAR(O$16)-YEAR(InicioFuncion))+1,0,IF($E31&lt;=(MONTH(O$16)-MONTH(InicioFuncion)+12*(YEAR(O$16)-YEAR(InicioFuncion)))-$D31+IF($D31&lt;&gt;"",1,0),0,IF(O$15&gt;$B$9,0,IF((YEAR($B$8)-YEAR($B$7))*12+(MONTH($B$8)-MONTH($B$7))+$E$14&lt;=N$14,$C31))))*HLOOKUP(YEAR(O$16),$E$3:$O$5,3,0),0)))</f>
        <v>0</v>
      </c>
      <c r="P31" s="1">
        <f t="shared" ref="P31:P35" si="74">+(IF($A31="","",IF(P$15&gt;12,IF($D31&gt;MONTH(P$16)-MONTH(InicioFuncion)+12*(YEAR(P$16)-YEAR(InicioFuncion))+1,0,IF($E31&lt;=(MONTH(P$16)-MONTH(InicioFuncion)+12*(YEAR(P$16)-YEAR(InicioFuncion)))-$D31+IF($D31&lt;&gt;"",1,0),0,IF(P$15&gt;$B$9,0,IF((YEAR($B$8)-YEAR($B$7))*12+(MONTH($B$8)-MONTH($B$7))+$E$14&lt;=O$14,$C31))))*HLOOKUP(YEAR(P$16),$E$3:$O$5,3,0),0)))</f>
        <v>0</v>
      </c>
      <c r="Q31" s="1">
        <f t="shared" ref="Q31:Q35" si="75">+(IF($A31="","",IF(Q$15&gt;12,IF($D31&gt;MONTH(Q$16)-MONTH(InicioFuncion)+12*(YEAR(Q$16)-YEAR(InicioFuncion))+1,0,IF($E31&lt;=(MONTH(Q$16)-MONTH(InicioFuncion)+12*(YEAR(Q$16)-YEAR(InicioFuncion)))-$D31+IF($D31&lt;&gt;"",1,0),0,IF(Q$15&gt;$B$9,0,IF((YEAR($B$8)-YEAR($B$7))*12+(MONTH($B$8)-MONTH($B$7))+$E$14&lt;=P$14,$C31))))*HLOOKUP(YEAR(Q$16),$E$3:$O$5,3,0),0)))</f>
        <v>0</v>
      </c>
      <c r="R31" s="1">
        <f t="shared" ref="R31:R35" si="76">+(IF($A31="","",IF(R$15&gt;12,IF($D31&gt;MONTH(R$16)-MONTH(InicioFuncion)+12*(YEAR(R$16)-YEAR(InicioFuncion))+1,0,IF($E31&lt;=(MONTH(R$16)-MONTH(InicioFuncion)+12*(YEAR(R$16)-YEAR(InicioFuncion)))-$D31+IF($D31&lt;&gt;"",1,0),0,IF(R$15&gt;$B$9,0,IF((YEAR($B$8)-YEAR($B$7))*12+(MONTH($B$8)-MONTH($B$7))+$E$14&lt;=Q$14,$C31))))*HLOOKUP(YEAR(R$16),$E$3:$O$5,3,0),0)))</f>
        <v>0</v>
      </c>
      <c r="S31" s="1">
        <f t="shared" ref="S31:S35" si="77">+(IF($A31="","",IF(S$15&gt;12,IF($D31&gt;MONTH(S$16)-MONTH(InicioFuncion)+12*(YEAR(S$16)-YEAR(InicioFuncion))+1,0,IF($E31&lt;=(MONTH(S$16)-MONTH(InicioFuncion)+12*(YEAR(S$16)-YEAR(InicioFuncion)))-$D31+IF($D31&lt;&gt;"",1,0),0,IF(S$15&gt;$B$9,0,IF((YEAR($B$8)-YEAR($B$7))*12+(MONTH($B$8)-MONTH($B$7))+$E$14&lt;=R$14,$C31))))*HLOOKUP(YEAR(S$16),$E$3:$O$5,3,0),0)))</f>
        <v>254316.94323357724</v>
      </c>
      <c r="T31" s="1">
        <f t="shared" ref="T31:T35" si="78">+(IF($A31="","",IF(T$15&gt;12,IF($D31&gt;MONTH(T$16)-MONTH(InicioFuncion)+12*(YEAR(T$16)-YEAR(InicioFuncion))+1,0,IF($E31&lt;=(MONTH(T$16)-MONTH(InicioFuncion)+12*(YEAR(T$16)-YEAR(InicioFuncion)))-$D31+IF($D31&lt;&gt;"",1,0),0,IF(T$15&gt;$B$9,0,IF((YEAR($B$8)-YEAR($B$7))*12+(MONTH($B$8)-MONTH($B$7))+$E$14&lt;=S$14,$C31))))*HLOOKUP(YEAR(T$16),$E$3:$O$5,3,0),0)))</f>
        <v>254316.94323357724</v>
      </c>
      <c r="U31" s="1">
        <f t="shared" ref="U31:U35" si="79">+(IF($A31="","",IF(U$15&gt;12,IF($D31&gt;MONTH(U$16)-MONTH(InicioFuncion)+12*(YEAR(U$16)-YEAR(InicioFuncion))+1,0,IF($E31&lt;=(MONTH(U$16)-MONTH(InicioFuncion)+12*(YEAR(U$16)-YEAR(InicioFuncion)))-$D31+IF($D31&lt;&gt;"",1,0),0,IF(U$15&gt;$B$9,0,IF((YEAR($B$8)-YEAR($B$7))*12+(MONTH($B$8)-MONTH($B$7))+$E$14&lt;=T$14,$C31))))*HLOOKUP(YEAR(U$16),$E$3:$O$5,3,0),0)))</f>
        <v>254316.94323357724</v>
      </c>
      <c r="V31" s="1">
        <f t="shared" ref="V31:V35" si="80">+(IF($A31="","",IF(V$15&gt;12,IF($D31&gt;MONTH(V$16)-MONTH(InicioFuncion)+12*(YEAR(V$16)-YEAR(InicioFuncion))+1,0,IF($E31&lt;=(MONTH(V$16)-MONTH(InicioFuncion)+12*(YEAR(V$16)-YEAR(InicioFuncion)))-$D31+IF($D31&lt;&gt;"",1,0),0,IF(V$15&gt;$B$9,0,IF((YEAR($B$8)-YEAR($B$7))*12+(MONTH($B$8)-MONTH($B$7))+$E$14&lt;=U$14,$C31))))*HLOOKUP(YEAR(V$16),$E$3:$O$5,3,0),0)))</f>
        <v>254316.94323357724</v>
      </c>
      <c r="W31" s="1">
        <f t="shared" ref="W31:W35" si="81">+(IF($A31="","",IF(W$15&gt;12,IF($D31&gt;MONTH(W$16)-MONTH(InicioFuncion)+12*(YEAR(W$16)-YEAR(InicioFuncion))+1,0,IF($E31&lt;=(MONTH(W$16)-MONTH(InicioFuncion)+12*(YEAR(W$16)-YEAR(InicioFuncion)))-$D31+IF($D31&lt;&gt;"",1,0),0,IF(W$15&gt;$B$9,0,IF((YEAR($B$8)-YEAR($B$7))*12+(MONTH($B$8)-MONTH($B$7))+$E$14&lt;=V$14,$C31))))*HLOOKUP(YEAR(W$16),$E$3:$O$5,3,0),0)))</f>
        <v>254316.94323357724</v>
      </c>
      <c r="X31" s="1">
        <f t="shared" ref="X31:X35" si="82">+(IF($A31="","",IF(X$15&gt;12,IF($D31&gt;MONTH(X$16)-MONTH(InicioFuncion)+12*(YEAR(X$16)-YEAR(InicioFuncion))+1,0,IF($E31&lt;=(MONTH(X$16)-MONTH(InicioFuncion)+12*(YEAR(X$16)-YEAR(InicioFuncion)))-$D31+IF($D31&lt;&gt;"",1,0),0,IF(X$15&gt;$B$9,0,IF((YEAR($B$8)-YEAR($B$7))*12+(MONTH($B$8)-MONTH($B$7))+$E$14&lt;=W$14,$C31))))*HLOOKUP(YEAR(X$16),$E$3:$O$5,3,0),0)))</f>
        <v>254316.94323357724</v>
      </c>
      <c r="Y31" s="1">
        <f t="shared" ref="Y31:Y35" si="83">+(IF($A31="","",IF(Y$15&gt;12,IF($D31&gt;MONTH(Y$16)-MONTH(InicioFuncion)+12*(YEAR(Y$16)-YEAR(InicioFuncion))+1,0,IF($E31&lt;=(MONTH(Y$16)-MONTH(InicioFuncion)+12*(YEAR(Y$16)-YEAR(InicioFuncion)))-$D31+IF($D31&lt;&gt;"",1,0),0,IF(Y$15&gt;$B$9,0,IF((YEAR($B$8)-YEAR($B$7))*12+(MONTH($B$8)-MONTH($B$7))+$E$14&lt;=X$14,$C31))))*HLOOKUP(YEAR(Y$16),$E$3:$O$5,3,0),0)))</f>
        <v>254316.94323357724</v>
      </c>
      <c r="Z31" s="1">
        <f t="shared" ref="Z31:Z35" si="84">+(IF($A31="","",IF(Z$15&gt;12,IF($D31&gt;MONTH(Z$16)-MONTH(InicioFuncion)+12*(YEAR(Z$16)-YEAR(InicioFuncion))+1,0,IF($E31&lt;=(MONTH(Z$16)-MONTH(InicioFuncion)+12*(YEAR(Z$16)-YEAR(InicioFuncion)))-$D31+IF($D31&lt;&gt;"",1,0),0,IF(Z$15&gt;$B$9,0,IF((YEAR($B$8)-YEAR($B$7))*12+(MONTH($B$8)-MONTH($B$7))+$E$14&lt;=Y$14,$C31))))*HLOOKUP(YEAR(Z$16),$E$3:$O$5,3,0),0)))</f>
        <v>261946.45153058454</v>
      </c>
      <c r="AA31" s="1">
        <f t="shared" ref="AA31:AA35" si="85">+(IF($A31="","",IF(AA$15&gt;12,IF($D31&gt;MONTH(AA$16)-MONTH(InicioFuncion)+12*(YEAR(AA$16)-YEAR(InicioFuncion))+1,0,IF($E31&lt;=(MONTH(AA$16)-MONTH(InicioFuncion)+12*(YEAR(AA$16)-YEAR(InicioFuncion)))-$D31+IF($D31&lt;&gt;"",1,0),0,IF(AA$15&gt;$B$9,0,IF((YEAR($B$8)-YEAR($B$7))*12+(MONTH($B$8)-MONTH($B$7))+$E$14&lt;=Z$14,$C31))))*HLOOKUP(YEAR(AA$16),$E$3:$O$5,3,0),0)))</f>
        <v>261946.45153058454</v>
      </c>
      <c r="AB31" s="1">
        <f t="shared" ref="AB31:AB35" si="86">+(IF($A31="","",IF(AB$15&gt;12,IF($D31&gt;MONTH(AB$16)-MONTH(InicioFuncion)+12*(YEAR(AB$16)-YEAR(InicioFuncion))+1,0,IF($E31&lt;=(MONTH(AB$16)-MONTH(InicioFuncion)+12*(YEAR(AB$16)-YEAR(InicioFuncion)))-$D31+IF($D31&lt;&gt;"",1,0),0,IF(AB$15&gt;$B$9,0,IF((YEAR($B$8)-YEAR($B$7))*12+(MONTH($B$8)-MONTH($B$7))+$E$14&lt;=AA$14,$C31))))*HLOOKUP(YEAR(AB$16),$E$3:$O$5,3,0),0)))</f>
        <v>261946.45153058454</v>
      </c>
      <c r="AC31" s="1">
        <f t="shared" ref="AC31:AC35" si="87">+(IF($A31="","",IF(AC$15&gt;12,IF($D31&gt;MONTH(AC$16)-MONTH(InicioFuncion)+12*(YEAR(AC$16)-YEAR(InicioFuncion))+1,0,IF($E31&lt;=(MONTH(AC$16)-MONTH(InicioFuncion)+12*(YEAR(AC$16)-YEAR(InicioFuncion)))-$D31+IF($D31&lt;&gt;"",1,0),0,IF(AC$15&gt;$B$9,0,IF((YEAR($B$8)-YEAR($B$7))*12+(MONTH($B$8)-MONTH($B$7))+$E$14&lt;=AB$14,$C31))))*HLOOKUP(YEAR(AC$16),$E$3:$O$5,3,0),0)))</f>
        <v>261946.45153058454</v>
      </c>
      <c r="AD31" s="1">
        <f t="shared" ref="AD31:AD35" si="88">+(IF($A31="","",IF(AD$15&gt;12,IF($D31&gt;MONTH(AD$16)-MONTH(InicioFuncion)+12*(YEAR(AD$16)-YEAR(InicioFuncion))+1,0,IF($E31&lt;=(MONTH(AD$16)-MONTH(InicioFuncion)+12*(YEAR(AD$16)-YEAR(InicioFuncion)))-$D31+IF($D31&lt;&gt;"",1,0),0,IF(AD$15&gt;$B$9,0,IF((YEAR($B$8)-YEAR($B$7))*12+(MONTH($B$8)-MONTH($B$7))+$E$14&lt;=AC$14,$C31))))*HLOOKUP(YEAR(AD$16),$E$3:$O$5,3,0),0)))</f>
        <v>261946.45153058454</v>
      </c>
      <c r="AE31" s="1">
        <f t="shared" ref="AE31:AE35" si="89">+(IF($A31="","",IF(AE$15&gt;12,IF($D31&gt;MONTH(AE$16)-MONTH(InicioFuncion)+12*(YEAR(AE$16)-YEAR(InicioFuncion))+1,0,IF($E31&lt;=(MONTH(AE$16)-MONTH(InicioFuncion)+12*(YEAR(AE$16)-YEAR(InicioFuncion)))-$D31+IF($D31&lt;&gt;"",1,0),0,IF(AE$15&gt;$B$9,0,IF((YEAR($B$8)-YEAR($B$7))*12+(MONTH($B$8)-MONTH($B$7))+$E$14&lt;=AD$14,$C31))))*HLOOKUP(YEAR(AE$16),$E$3:$O$5,3,0),0)))</f>
        <v>261946.45153058454</v>
      </c>
      <c r="AF31" s="1">
        <f t="shared" ref="AF31:AF35" si="90">+(IF($A31="","",IF(AF$15&gt;12,IF($D31&gt;MONTH(AF$16)-MONTH(InicioFuncion)+12*(YEAR(AF$16)-YEAR(InicioFuncion))+1,0,IF($E31&lt;=(MONTH(AF$16)-MONTH(InicioFuncion)+12*(YEAR(AF$16)-YEAR(InicioFuncion)))-$D31+IF($D31&lt;&gt;"",1,0),0,IF(AF$15&gt;$B$9,0,IF((YEAR($B$8)-YEAR($B$7))*12+(MONTH($B$8)-MONTH($B$7))+$E$14&lt;=AE$14,$C31))))*HLOOKUP(YEAR(AF$16),$E$3:$O$5,3,0),0)))</f>
        <v>261946.45153058454</v>
      </c>
      <c r="AG31" s="1">
        <f t="shared" ref="AG31:AG35" si="91">+(IF($A31="","",IF(AG$15&gt;12,IF($D31&gt;MONTH(AG$16)-MONTH(InicioFuncion)+12*(YEAR(AG$16)-YEAR(InicioFuncion))+1,0,IF($E31&lt;=(MONTH(AG$16)-MONTH(InicioFuncion)+12*(YEAR(AG$16)-YEAR(InicioFuncion)))-$D31+IF($D31&lt;&gt;"",1,0),0,IF(AG$15&gt;$B$9,0,IF((YEAR($B$8)-YEAR($B$7))*12+(MONTH($B$8)-MONTH($B$7))+$E$14&lt;=AF$14,$C31))))*HLOOKUP(YEAR(AG$16),$E$3:$O$5,3,0),0)))</f>
        <v>261946.45153058454</v>
      </c>
      <c r="AH31" s="1">
        <f t="shared" ref="AH31:AH35" si="92">+(IF($A31="","",IF(AH$15&gt;12,IF($D31&gt;MONTH(AH$16)-MONTH(InicioFuncion)+12*(YEAR(AH$16)-YEAR(InicioFuncion))+1,0,IF($E31&lt;=(MONTH(AH$16)-MONTH(InicioFuncion)+12*(YEAR(AH$16)-YEAR(InicioFuncion)))-$D31+IF($D31&lt;&gt;"",1,0),0,IF(AH$15&gt;$B$9,0,IF((YEAR($B$8)-YEAR($B$7))*12+(MONTH($B$8)-MONTH($B$7))+$E$14&lt;=AG$14,$C31))))*HLOOKUP(YEAR(AH$16),$E$3:$O$5,3,0),0)))</f>
        <v>261946.45153058454</v>
      </c>
      <c r="AI31" s="1">
        <f t="shared" ref="AI31:AI35" si="93">+(IF($A31="","",IF(AI$15&gt;12,IF($D31&gt;MONTH(AI$16)-MONTH(InicioFuncion)+12*(YEAR(AI$16)-YEAR(InicioFuncion))+1,0,IF($E31&lt;=(MONTH(AI$16)-MONTH(InicioFuncion)+12*(YEAR(AI$16)-YEAR(InicioFuncion)))-$D31+IF($D31&lt;&gt;"",1,0),0,IF(AI$15&gt;$B$9,0,IF((YEAR($B$8)-YEAR($B$7))*12+(MONTH($B$8)-MONTH($B$7))+$E$14&lt;=AH$14,$C31))))*HLOOKUP(YEAR(AI$16),$E$3:$O$5,3,0),0)))</f>
        <v>261946.45153058454</v>
      </c>
      <c r="AJ31" s="1">
        <f t="shared" ref="AJ31:AJ35" si="94">+(IF($A31="","",IF(AJ$15&gt;12,IF($D31&gt;MONTH(AJ$16)-MONTH(InicioFuncion)+12*(YEAR(AJ$16)-YEAR(InicioFuncion))+1,0,IF($E31&lt;=(MONTH(AJ$16)-MONTH(InicioFuncion)+12*(YEAR(AJ$16)-YEAR(InicioFuncion)))-$D31+IF($D31&lt;&gt;"",1,0),0,IF(AJ$15&gt;$B$9,0,IF((YEAR($B$8)-YEAR($B$7))*12+(MONTH($B$8)-MONTH($B$7))+$E$14&lt;=AI$14,$C31))))*HLOOKUP(YEAR(AJ$16),$E$3:$O$5,3,0),0)))</f>
        <v>261946.45153058454</v>
      </c>
      <c r="AK31" s="1">
        <f t="shared" ref="AK31:AK35" si="95">+(IF($A31="","",IF(AK$15&gt;12,IF($D31&gt;MONTH(AK$16)-MONTH(InicioFuncion)+12*(YEAR(AK$16)-YEAR(InicioFuncion))+1,0,IF($E31&lt;=(MONTH(AK$16)-MONTH(InicioFuncion)+12*(YEAR(AK$16)-YEAR(InicioFuncion)))-$D31+IF($D31&lt;&gt;"",1,0),0,IF(AK$15&gt;$B$9,0,IF((YEAR($B$8)-YEAR($B$7))*12+(MONTH($B$8)-MONTH($B$7))+$E$14&lt;=AJ$14,$C31))))*HLOOKUP(YEAR(AK$16),$E$3:$O$5,3,0),0)))</f>
        <v>261946.45153058454</v>
      </c>
      <c r="AL31" s="1">
        <f t="shared" ref="AL31:AL35" si="96">+(IF($A31="","",IF(AL$15&gt;12,IF($D31&gt;MONTH(AL$16)-MONTH(InicioFuncion)+12*(YEAR(AL$16)-YEAR(InicioFuncion))+1,0,IF($E31&lt;=(MONTH(AL$16)-MONTH(InicioFuncion)+12*(YEAR(AL$16)-YEAR(InicioFuncion)))-$D31+IF($D31&lt;&gt;"",1,0),0,IF(AL$15&gt;$B$9,0,IF((YEAR($B$8)-YEAR($B$7))*12+(MONTH($B$8)-MONTH($B$7))+$E$14&lt;=AK$14,$C31))))*HLOOKUP(YEAR(AL$16),$E$3:$O$5,3,0),0)))</f>
        <v>269804.84507650213</v>
      </c>
      <c r="AM31" s="1">
        <f t="shared" ref="AM31:AM35" si="97">+(IF($A31="","",IF(AM$15&gt;12,IF($D31&gt;MONTH(AM$16)-MONTH(InicioFuncion)+12*(YEAR(AM$16)-YEAR(InicioFuncion))+1,0,IF($E31&lt;=(MONTH(AM$16)-MONTH(InicioFuncion)+12*(YEAR(AM$16)-YEAR(InicioFuncion)))-$D31+IF($D31&lt;&gt;"",1,0),0,IF(AM$15&gt;$B$9,0,IF((YEAR($B$8)-YEAR($B$7))*12+(MONTH($B$8)-MONTH($B$7))+$E$14&lt;=AL$14,$C31))))*HLOOKUP(YEAR(AM$16),$E$3:$O$5,3,0),0)))</f>
        <v>269804.84507650213</v>
      </c>
      <c r="AN31" s="1">
        <f t="shared" ref="AN31:AN35" si="98">+(IF($A31="","",IF(AN$15&gt;12,IF($D31&gt;MONTH(AN$16)-MONTH(InicioFuncion)+12*(YEAR(AN$16)-YEAR(InicioFuncion))+1,0,IF($E31&lt;=(MONTH(AN$16)-MONTH(InicioFuncion)+12*(YEAR(AN$16)-YEAR(InicioFuncion)))-$D31+IF($D31&lt;&gt;"",1,0),0,IF(AN$15&gt;$B$9,0,IF((YEAR($B$8)-YEAR($B$7))*12+(MONTH($B$8)-MONTH($B$7))+$E$14&lt;=AM$14,$C31))))*HLOOKUP(YEAR(AN$16),$E$3:$O$5,3,0),0)))</f>
        <v>269804.84507650213</v>
      </c>
      <c r="AO31" s="1">
        <f t="shared" ref="AO31:AO35" si="99">+(IF($A31="","",IF(AO$15&gt;12,IF($D31&gt;MONTH(AO$16)-MONTH(InicioFuncion)+12*(YEAR(AO$16)-YEAR(InicioFuncion))+1,0,IF($E31&lt;=(MONTH(AO$16)-MONTH(InicioFuncion)+12*(YEAR(AO$16)-YEAR(InicioFuncion)))-$D31+IF($D31&lt;&gt;"",1,0),0,IF(AO$15&gt;$B$9,0,IF((YEAR($B$8)-YEAR($B$7))*12+(MONTH($B$8)-MONTH($B$7))+$E$14&lt;=AN$14,$C31))))*HLOOKUP(YEAR(AO$16),$E$3:$O$5,3,0),0)))</f>
        <v>269804.84507650213</v>
      </c>
      <c r="AP31" s="1">
        <f t="shared" ref="AP31:AP35" si="100">+(IF($A31="","",IF(AP$15&gt;12,IF($D31&gt;MONTH(AP$16)-MONTH(InicioFuncion)+12*(YEAR(AP$16)-YEAR(InicioFuncion))+1,0,IF($E31&lt;=(MONTH(AP$16)-MONTH(InicioFuncion)+12*(YEAR(AP$16)-YEAR(InicioFuncion)))-$D31+IF($D31&lt;&gt;"",1,0),0,IF(AP$15&gt;$B$9,0,IF((YEAR($B$8)-YEAR($B$7))*12+(MONTH($B$8)-MONTH($B$7))+$E$14&lt;=AO$14,$C31))))*HLOOKUP(YEAR(AP$16),$E$3:$O$5,3,0),0)))</f>
        <v>269804.84507650213</v>
      </c>
      <c r="AQ31" s="1">
        <f t="shared" ref="AQ31:AQ35" si="101">+(IF($A31="","",IF(AQ$15&gt;12,IF($D31&gt;MONTH(AQ$16)-MONTH(InicioFuncion)+12*(YEAR(AQ$16)-YEAR(InicioFuncion))+1,0,IF($E31&lt;=(MONTH(AQ$16)-MONTH(InicioFuncion)+12*(YEAR(AQ$16)-YEAR(InicioFuncion)))-$D31+IF($D31&lt;&gt;"",1,0),0,IF(AQ$15&gt;$B$9,0,IF((YEAR($B$8)-YEAR($B$7))*12+(MONTH($B$8)-MONTH($B$7))+$E$14&lt;=AP$14,$C31))))*HLOOKUP(YEAR(AQ$16),$E$3:$O$5,3,0),0)))</f>
        <v>269804.84507650213</v>
      </c>
      <c r="AR31" s="1">
        <f t="shared" ref="AR31:AR35" si="102">+(IF($A31="","",IF(AR$15&gt;12,IF($D31&gt;MONTH(AR$16)-MONTH(InicioFuncion)+12*(YEAR(AR$16)-YEAR(InicioFuncion))+1,0,IF($E31&lt;=(MONTH(AR$16)-MONTH(InicioFuncion)+12*(YEAR(AR$16)-YEAR(InicioFuncion)))-$D31+IF($D31&lt;&gt;"",1,0),0,IF(AR$15&gt;$B$9,0,IF((YEAR($B$8)-YEAR($B$7))*12+(MONTH($B$8)-MONTH($B$7))+$E$14&lt;=AQ$14,$C31))))*HLOOKUP(YEAR(AR$16),$E$3:$O$5,3,0),0)))</f>
        <v>269804.84507650213</v>
      </c>
      <c r="AS31" s="1">
        <f t="shared" ref="AS31:AS35" si="103">+(IF($A31="","",IF(AS$15&gt;12,IF($D31&gt;MONTH(AS$16)-MONTH(InicioFuncion)+12*(YEAR(AS$16)-YEAR(InicioFuncion))+1,0,IF($E31&lt;=(MONTH(AS$16)-MONTH(InicioFuncion)+12*(YEAR(AS$16)-YEAR(InicioFuncion)))-$D31+IF($D31&lt;&gt;"",1,0),0,IF(AS$15&gt;$B$9,0,IF((YEAR($B$8)-YEAR($B$7))*12+(MONTH($B$8)-MONTH($B$7))+$E$14&lt;=AR$14,$C31))))*HLOOKUP(YEAR(AS$16),$E$3:$O$5,3,0),0)))</f>
        <v>269804.84507650213</v>
      </c>
      <c r="AT31" s="1">
        <f t="shared" ref="AT31:AT35" si="104">+(IF($A31="","",IF(AT$15&gt;12,IF($D31&gt;MONTH(AT$16)-MONTH(InicioFuncion)+12*(YEAR(AT$16)-YEAR(InicioFuncion))+1,0,IF($E31&lt;=(MONTH(AT$16)-MONTH(InicioFuncion)+12*(YEAR(AT$16)-YEAR(InicioFuncion)))-$D31+IF($D31&lt;&gt;"",1,0),0,IF(AT$15&gt;$B$9,0,IF((YEAR($B$8)-YEAR($B$7))*12+(MONTH($B$8)-MONTH($B$7))+$E$14&lt;=AS$14,$C31))))*HLOOKUP(YEAR(AT$16),$E$3:$O$5,3,0),0)))</f>
        <v>269804.84507650213</v>
      </c>
      <c r="AU31" s="1">
        <f t="shared" ref="AU31:AU35" si="105">+(IF($A31="","",IF(AU$15&gt;12,IF($D31&gt;MONTH(AU$16)-MONTH(InicioFuncion)+12*(YEAR(AU$16)-YEAR(InicioFuncion))+1,0,IF($E31&lt;=(MONTH(AU$16)-MONTH(InicioFuncion)+12*(YEAR(AU$16)-YEAR(InicioFuncion)))-$D31+IF($D31&lt;&gt;"",1,0),0,IF(AU$15&gt;$B$9,0,IF((YEAR($B$8)-YEAR($B$7))*12+(MONTH($B$8)-MONTH($B$7))+$E$14&lt;=AT$14,$C31))))*HLOOKUP(YEAR(AU$16),$E$3:$O$5,3,0),0)))</f>
        <v>269804.84507650213</v>
      </c>
      <c r="AV31" s="1">
        <f t="shared" ref="AV31:AV35" si="106">+(IF($A31="","",IF(AV$15&gt;12,IF($D31&gt;MONTH(AV$16)-MONTH(InicioFuncion)+12*(YEAR(AV$16)-YEAR(InicioFuncion))+1,0,IF($E31&lt;=(MONTH(AV$16)-MONTH(InicioFuncion)+12*(YEAR(AV$16)-YEAR(InicioFuncion)))-$D31+IF($D31&lt;&gt;"",1,0),0,IF(AV$15&gt;$B$9,0,IF((YEAR($B$8)-YEAR($B$7))*12+(MONTH($B$8)-MONTH($B$7))+$E$14&lt;=AU$14,$C31))))*HLOOKUP(YEAR(AV$16),$E$3:$O$5,3,0),0)))</f>
        <v>269804.84507650213</v>
      </c>
      <c r="AW31" s="1">
        <f t="shared" ref="AW31:AW35" si="107">+(IF($A31="","",IF(AW$15&gt;12,IF($D31&gt;MONTH(AW$16)-MONTH(InicioFuncion)+12*(YEAR(AW$16)-YEAR(InicioFuncion))+1,0,IF($E31&lt;=(MONTH(AW$16)-MONTH(InicioFuncion)+12*(YEAR(AW$16)-YEAR(InicioFuncion)))-$D31+IF($D31&lt;&gt;"",1,0),0,IF(AW$15&gt;$B$9,0,IF((YEAR($B$8)-YEAR($B$7))*12+(MONTH($B$8)-MONTH($B$7))+$E$14&lt;=AV$14,$C31))))*HLOOKUP(YEAR(AW$16),$E$3:$O$5,3,0),0)))</f>
        <v>269804.84507650213</v>
      </c>
      <c r="AX31" s="1">
        <f t="shared" ref="AX31:AX35" si="108">+(IF($A31="","",IF(AX$15&gt;12,IF($D31&gt;MONTH(AX$16)-MONTH(InicioFuncion)+12*(YEAR(AX$16)-YEAR(InicioFuncion))+1,0,IF($E31&lt;=(MONTH(AX$16)-MONTH(InicioFuncion)+12*(YEAR(AX$16)-YEAR(InicioFuncion)))-$D31+IF($D31&lt;&gt;"",1,0),0,IF(AX$15&gt;$B$9,0,IF((YEAR($B$8)-YEAR($B$7))*12+(MONTH($B$8)-MONTH($B$7))+$E$14&lt;=AW$14,$C31))))*HLOOKUP(YEAR(AX$16),$E$3:$O$5,3,0),0)))</f>
        <v>277898.9904287972</v>
      </c>
      <c r="AY31" s="1">
        <f t="shared" ref="AY31:AY35" si="109">+(IF($A31="","",IF(AY$15&gt;12,IF($D31&gt;MONTH(AY$16)-MONTH(InicioFuncion)+12*(YEAR(AY$16)-YEAR(InicioFuncion))+1,0,IF($E31&lt;=(MONTH(AY$16)-MONTH(InicioFuncion)+12*(YEAR(AY$16)-YEAR(InicioFuncion)))-$D31+IF($D31&lt;&gt;"",1,0),0,IF(AY$15&gt;$B$9,0,IF((YEAR($B$8)-YEAR($B$7))*12+(MONTH($B$8)-MONTH($B$7))+$E$14&lt;=AX$14,$C31))))*HLOOKUP(YEAR(AY$16),$E$3:$O$5,3,0),0)))</f>
        <v>277898.9904287972</v>
      </c>
      <c r="AZ31" s="1">
        <f t="shared" ref="AZ31:AZ35" si="110">+(IF($A31="","",IF(AZ$15&gt;12,IF($D31&gt;MONTH(AZ$16)-MONTH(InicioFuncion)+12*(YEAR(AZ$16)-YEAR(InicioFuncion))+1,0,IF($E31&lt;=(MONTH(AZ$16)-MONTH(InicioFuncion)+12*(YEAR(AZ$16)-YEAR(InicioFuncion)))-$D31+IF($D31&lt;&gt;"",1,0),0,IF(AZ$15&gt;$B$9,0,IF((YEAR($B$8)-YEAR($B$7))*12+(MONTH($B$8)-MONTH($B$7))+$E$14&lt;=AY$14,$C31))))*HLOOKUP(YEAR(AZ$16),$E$3:$O$5,3,0),0)))</f>
        <v>277898.9904287972</v>
      </c>
      <c r="BA31" s="1">
        <f t="shared" ref="BA31:BA35" si="111">+(IF($A31="","",IF(BA$15&gt;12,IF($D31&gt;MONTH(BA$16)-MONTH(InicioFuncion)+12*(YEAR(BA$16)-YEAR(InicioFuncion))+1,0,IF($E31&lt;=(MONTH(BA$16)-MONTH(InicioFuncion)+12*(YEAR(BA$16)-YEAR(InicioFuncion)))-$D31+IF($D31&lt;&gt;"",1,0),0,IF(BA$15&gt;$B$9,0,IF((YEAR($B$8)-YEAR($B$7))*12+(MONTH($B$8)-MONTH($B$7))+$E$14&lt;=AZ$14,$C31))))*HLOOKUP(YEAR(BA$16),$E$3:$O$5,3,0),0)))</f>
        <v>277898.9904287972</v>
      </c>
      <c r="BB31" s="1">
        <f t="shared" ref="BB31:BB35" si="112">+(IF($A31="","",IF(BB$15&gt;12,IF($D31&gt;MONTH(BB$16)-MONTH(InicioFuncion)+12*(YEAR(BB$16)-YEAR(InicioFuncion))+1,0,IF($E31&lt;=(MONTH(BB$16)-MONTH(InicioFuncion)+12*(YEAR(BB$16)-YEAR(InicioFuncion)))-$D31+IF($D31&lt;&gt;"",1,0),0,IF(BB$15&gt;$B$9,0,IF((YEAR($B$8)-YEAR($B$7))*12+(MONTH($B$8)-MONTH($B$7))+$E$14&lt;=BA$14,$C31))))*HLOOKUP(YEAR(BB$16),$E$3:$O$5,3,0),0)))</f>
        <v>277898.9904287972</v>
      </c>
      <c r="BC31" s="1">
        <f t="shared" ref="BC31:BC35" si="113">+(IF($A31="","",IF(BC$15&gt;12,IF($D31&gt;MONTH(BC$16)-MONTH(InicioFuncion)+12*(YEAR(BC$16)-YEAR(InicioFuncion))+1,0,IF($E31&lt;=(MONTH(BC$16)-MONTH(InicioFuncion)+12*(YEAR(BC$16)-YEAR(InicioFuncion)))-$D31+IF($D31&lt;&gt;"",1,0),0,IF(BC$15&gt;$B$9,0,IF((YEAR($B$8)-YEAR($B$7))*12+(MONTH($B$8)-MONTH($B$7))+$E$14&lt;=BB$14,$C31))))*HLOOKUP(YEAR(BC$16),$E$3:$O$5,3,0),0)))</f>
        <v>277898.9904287972</v>
      </c>
      <c r="BD31" s="1">
        <f t="shared" ref="BD31:BD35" si="114">+(IF($A31="","",IF(BD$15&gt;12,IF($D31&gt;MONTH(BD$16)-MONTH(InicioFuncion)+12*(YEAR(BD$16)-YEAR(InicioFuncion))+1,0,IF($E31&lt;=(MONTH(BD$16)-MONTH(InicioFuncion)+12*(YEAR(BD$16)-YEAR(InicioFuncion)))-$D31+IF($D31&lt;&gt;"",1,0),0,IF(BD$15&gt;$B$9,0,IF((YEAR($B$8)-YEAR($B$7))*12+(MONTH($B$8)-MONTH($B$7))+$E$14&lt;=BC$14,$C31))))*HLOOKUP(YEAR(BD$16),$E$3:$O$5,3,0),0)))</f>
        <v>277898.9904287972</v>
      </c>
      <c r="BE31" s="1">
        <f t="shared" ref="BE31:BE35" si="115">+(IF($A31="","",IF(BE$15&gt;12,IF($D31&gt;MONTH(BE$16)-MONTH(InicioFuncion)+12*(YEAR(BE$16)-YEAR(InicioFuncion))+1,0,IF($E31&lt;=(MONTH(BE$16)-MONTH(InicioFuncion)+12*(YEAR(BE$16)-YEAR(InicioFuncion)))-$D31+IF($D31&lt;&gt;"",1,0),0,IF(BE$15&gt;$B$9,0,IF((YEAR($B$8)-YEAR($B$7))*12+(MONTH($B$8)-MONTH($B$7))+$E$14&lt;=BD$14,$C31))))*HLOOKUP(YEAR(BE$16),$E$3:$O$5,3,0),0)))</f>
        <v>277898.9904287972</v>
      </c>
      <c r="BF31" s="1">
        <f t="shared" ref="BF31:BF35" si="116">+(IF($A31="","",IF(BF$15&gt;12,IF($D31&gt;MONTH(BF$16)-MONTH(InicioFuncion)+12*(YEAR(BF$16)-YEAR(InicioFuncion))+1,0,IF($E31&lt;=(MONTH(BF$16)-MONTH(InicioFuncion)+12*(YEAR(BF$16)-YEAR(InicioFuncion)))-$D31+IF($D31&lt;&gt;"",1,0),0,IF(BF$15&gt;$B$9,0,IF((YEAR($B$8)-YEAR($B$7))*12+(MONTH($B$8)-MONTH($B$7))+$E$14&lt;=BE$14,$C31))))*HLOOKUP(YEAR(BF$16),$E$3:$O$5,3,0),0)))</f>
        <v>277898.9904287972</v>
      </c>
      <c r="BG31" s="1">
        <f t="shared" ref="BG31:BG35" si="117">+(IF($A31="","",IF(BG$15&gt;12,IF($D31&gt;MONTH(BG$16)-MONTH(InicioFuncion)+12*(YEAR(BG$16)-YEAR(InicioFuncion))+1,0,IF($E31&lt;=(MONTH(BG$16)-MONTH(InicioFuncion)+12*(YEAR(BG$16)-YEAR(InicioFuncion)))-$D31+IF($D31&lt;&gt;"",1,0),0,IF(BG$15&gt;$B$9,0,IF((YEAR($B$8)-YEAR($B$7))*12+(MONTH($B$8)-MONTH($B$7))+$E$14&lt;=BF$14,$C31))))*HLOOKUP(YEAR(BG$16),$E$3:$O$5,3,0),0)))</f>
        <v>277898.9904287972</v>
      </c>
      <c r="BH31" s="1">
        <f t="shared" ref="BH31:BH35" si="118">+(IF($A31="","",IF(BH$15&gt;12,IF($D31&gt;MONTH(BH$16)-MONTH(InicioFuncion)+12*(YEAR(BH$16)-YEAR(InicioFuncion))+1,0,IF($E31&lt;=(MONTH(BH$16)-MONTH(InicioFuncion)+12*(YEAR(BH$16)-YEAR(InicioFuncion)))-$D31+IF($D31&lt;&gt;"",1,0),0,IF(BH$15&gt;$B$9,0,IF((YEAR($B$8)-YEAR($B$7))*12+(MONTH($B$8)-MONTH($B$7))+$E$14&lt;=BG$14,$C31))))*HLOOKUP(YEAR(BH$16),$E$3:$O$5,3,0),0)))</f>
        <v>277898.9904287972</v>
      </c>
      <c r="BI31" s="1">
        <f t="shared" ref="BI31:BI35" si="119">+(IF($A31="","",IF(BI$15&gt;12,IF($D31&gt;MONTH(BI$16)-MONTH(InicioFuncion)+12*(YEAR(BI$16)-YEAR(InicioFuncion))+1,0,IF($E31&lt;=(MONTH(BI$16)-MONTH(InicioFuncion)+12*(YEAR(BI$16)-YEAR(InicioFuncion)))-$D31+IF($D31&lt;&gt;"",1,0),0,IF(BI$15&gt;$B$9,0,IF((YEAR($B$8)-YEAR($B$7))*12+(MONTH($B$8)-MONTH($B$7))+$E$14&lt;=BH$14,$C31))))*HLOOKUP(YEAR(BI$16),$E$3:$O$5,3,0),0)))</f>
        <v>277898.9904287972</v>
      </c>
      <c r="BJ31" s="1">
        <f t="shared" ref="BJ31:BJ35" si="120">+(IF($A31="","",IF(BJ$15&gt;12,IF($D31&gt;MONTH(BJ$16)-MONTH(InicioFuncion)+12*(YEAR(BJ$16)-YEAR(InicioFuncion))+1,0,IF($E31&lt;=(MONTH(BJ$16)-MONTH(InicioFuncion)+12*(YEAR(BJ$16)-YEAR(InicioFuncion)))-$D31+IF($D31&lt;&gt;"",1,0),0,IF(BJ$15&gt;$B$9,0,IF((YEAR($B$8)-YEAR($B$7))*12+(MONTH($B$8)-MONTH($B$7))+$E$14&lt;=BI$14,$C31))))*HLOOKUP(YEAR(BJ$16),$E$3:$O$5,3,0),0)))</f>
        <v>286235.96014166111</v>
      </c>
      <c r="BK31" s="1">
        <f t="shared" ref="BK31:BK35" si="121">+(IF($A31="","",IF(BK$15&gt;12,IF($D31&gt;MONTH(BK$16)-MONTH(InicioFuncion)+12*(YEAR(BK$16)-YEAR(InicioFuncion))+1,0,IF($E31&lt;=(MONTH(BK$16)-MONTH(InicioFuncion)+12*(YEAR(BK$16)-YEAR(InicioFuncion)))-$D31+IF($D31&lt;&gt;"",1,0),0,IF(BK$15&gt;$B$9,0,IF((YEAR($B$8)-YEAR($B$7))*12+(MONTH($B$8)-MONTH($B$7))+$E$14&lt;=BJ$14,$C31))))*HLOOKUP(YEAR(BK$16),$E$3:$O$5,3,0),0)))</f>
        <v>0</v>
      </c>
      <c r="BL31" s="1">
        <f t="shared" ref="BL31:BL35" si="122">+(IF($A31="","",IF(BL$15&gt;12,IF($D31&gt;MONTH(BL$16)-MONTH(InicioFuncion)+12*(YEAR(BL$16)-YEAR(InicioFuncion))+1,0,IF($E31&lt;=(MONTH(BL$16)-MONTH(InicioFuncion)+12*(YEAR(BL$16)-YEAR(InicioFuncion)))-$D31+IF($D31&lt;&gt;"",1,0),0,IF(BL$15&gt;$B$9,0,IF((YEAR($B$8)-YEAR($B$7))*12+(MONTH($B$8)-MONTH($B$7))+$E$14&lt;=BK$14,$C31))))*HLOOKUP(YEAR(BL$16),$E$3:$O$5,3,0),0)))</f>
        <v>0</v>
      </c>
      <c r="BM31" s="1">
        <f t="shared" ref="BM31:BM35" si="123">+(IF($A31="","",IF(BM$15&gt;12,IF($D31&gt;MONTH(BM$16)-MONTH(InicioFuncion)+12*(YEAR(BM$16)-YEAR(InicioFuncion))+1,0,IF($E31&lt;=(MONTH(BM$16)-MONTH(InicioFuncion)+12*(YEAR(BM$16)-YEAR(InicioFuncion)))-$D31+IF($D31&lt;&gt;"",1,0),0,IF(BM$15&gt;$B$9,0,IF((YEAR($B$8)-YEAR($B$7))*12+(MONTH($B$8)-MONTH($B$7))+$E$14&lt;=BL$14,$C31))))*HLOOKUP(YEAR(BM$16),$E$3:$O$5,3,0),0)))</f>
        <v>0</v>
      </c>
      <c r="BN31" s="1">
        <f t="shared" ref="BN31:BN35" si="124">+(IF($A31="","",IF(BN$15&gt;12,IF($D31&gt;MONTH(BN$16)-MONTH(InicioFuncion)+12*(YEAR(BN$16)-YEAR(InicioFuncion))+1,0,IF($E31&lt;=(MONTH(BN$16)-MONTH(InicioFuncion)+12*(YEAR(BN$16)-YEAR(InicioFuncion)))-$D31+IF($D31&lt;&gt;"",1,0),0,IF(BN$15&gt;$B$9,0,IF((YEAR($B$8)-YEAR($B$7))*12+(MONTH($B$8)-MONTH($B$7))+$E$14&lt;=BM$14,$C31))))*HLOOKUP(YEAR(BN$16),$E$3:$O$5,3,0),0)))</f>
        <v>0</v>
      </c>
      <c r="BO31" s="1">
        <f t="shared" ref="BO31:BO35" si="125">+(IF($A31="","",IF(BO$15&gt;12,IF($D31&gt;MONTH(BO$16)-MONTH(InicioFuncion)+12*(YEAR(BO$16)-YEAR(InicioFuncion))+1,0,IF($E31&lt;=(MONTH(BO$16)-MONTH(InicioFuncion)+12*(YEAR(BO$16)-YEAR(InicioFuncion)))-$D31+IF($D31&lt;&gt;"",1,0),0,IF(BO$15&gt;$B$9,0,IF((YEAR($B$8)-YEAR($B$7))*12+(MONTH($B$8)-MONTH($B$7))+$E$14&lt;=BN$14,$C31))))*HLOOKUP(YEAR(BO$16),$E$3:$O$5,3,0),0)))</f>
        <v>0</v>
      </c>
      <c r="BP31" s="1">
        <f t="shared" ref="BP31:BP35" si="126">+(IF($A31="","",IF(BP$15&gt;12,IF($D31&gt;MONTH(BP$16)-MONTH(InicioFuncion)+12*(YEAR(BP$16)-YEAR(InicioFuncion))+1,0,IF($E31&lt;=(MONTH(BP$16)-MONTH(InicioFuncion)+12*(YEAR(BP$16)-YEAR(InicioFuncion)))-$D31+IF($D31&lt;&gt;"",1,0),0,IF(BP$15&gt;$B$9,0,IF((YEAR($B$8)-YEAR($B$7))*12+(MONTH($B$8)-MONTH($B$7))+$E$14&lt;=BO$14,$C31))))*HLOOKUP(YEAR(BP$16),$E$3:$O$5,3,0),0)))</f>
        <v>0</v>
      </c>
      <c r="BQ31" s="1">
        <f t="shared" ref="BQ31:BQ35" si="127">+(IF($A31="","",IF(BQ$15&gt;12,IF($D31&gt;MONTH(BQ$16)-MONTH(InicioFuncion)+12*(YEAR(BQ$16)-YEAR(InicioFuncion))+1,0,IF($E31&lt;=(MONTH(BQ$16)-MONTH(InicioFuncion)+12*(YEAR(BQ$16)-YEAR(InicioFuncion)))-$D31+IF($D31&lt;&gt;"",1,0),0,IF(BQ$15&gt;$B$9,0,IF((YEAR($B$8)-YEAR($B$7))*12+(MONTH($B$8)-MONTH($B$7))+$E$14&lt;=BP$14,$C31))))*HLOOKUP(YEAR(BQ$16),$E$3:$O$5,3,0),0)))</f>
        <v>0</v>
      </c>
      <c r="BR31" s="1">
        <f t="shared" ref="BR31:BR35" si="128">+(IF($A31="","",IF(BR$15&gt;12,IF($D31&gt;MONTH(BR$16)-MONTH(InicioFuncion)+12*(YEAR(BR$16)-YEAR(InicioFuncion))+1,0,IF($E31&lt;=(MONTH(BR$16)-MONTH(InicioFuncion)+12*(YEAR(BR$16)-YEAR(InicioFuncion)))-$D31+IF($D31&lt;&gt;"",1,0),0,IF(BR$15&gt;$B$9,0,IF((YEAR($B$8)-YEAR($B$7))*12+(MONTH($B$8)-MONTH($B$7))+$E$14&lt;=BQ$14,$C31))))*HLOOKUP(YEAR(BR$16),$E$3:$O$5,3,0),0)))</f>
        <v>0</v>
      </c>
      <c r="BS31" s="1">
        <f t="shared" ref="BS31:BS35" si="129">+(IF($A31="","",IF(BS$15&gt;12,IF($D31&gt;MONTH(BS$16)-MONTH(InicioFuncion)+12*(YEAR(BS$16)-YEAR(InicioFuncion))+1,0,IF($E31&lt;=(MONTH(BS$16)-MONTH(InicioFuncion)+12*(YEAR(BS$16)-YEAR(InicioFuncion)))-$D31+IF($D31&lt;&gt;"",1,0),0,IF(BS$15&gt;$B$9,0,IF((YEAR($B$8)-YEAR($B$7))*12+(MONTH($B$8)-MONTH($B$7))+$E$14&lt;=BR$14,$C31))))*HLOOKUP(YEAR(BS$16),$E$3:$O$5,3,0),0)))</f>
        <v>0</v>
      </c>
      <c r="BT31" s="1">
        <f t="shared" ref="BT31:BT35" si="130">+(IF($A31="","",IF(BT$15&gt;12,IF($D31&gt;MONTH(BT$16)-MONTH(InicioFuncion)+12*(YEAR(BT$16)-YEAR(InicioFuncion))+1,0,IF($E31&lt;=(MONTH(BT$16)-MONTH(InicioFuncion)+12*(YEAR(BT$16)-YEAR(InicioFuncion)))-$D31+IF($D31&lt;&gt;"",1,0),0,IF(BT$15&gt;$B$9,0,IF((YEAR($B$8)-YEAR($B$7))*12+(MONTH($B$8)-MONTH($B$7))+$E$14&lt;=BS$14,$C31))))*HLOOKUP(YEAR(BT$16),$E$3:$O$5,3,0),0)))</f>
        <v>0</v>
      </c>
      <c r="BU31" s="1">
        <f t="shared" ref="BU31:BU35" si="131">+(IF($A31="","",IF(BU$15&gt;12,IF($D31&gt;MONTH(BU$16)-MONTH(InicioFuncion)+12*(YEAR(BU$16)-YEAR(InicioFuncion))+1,0,IF($E31&lt;=(MONTH(BU$16)-MONTH(InicioFuncion)+12*(YEAR(BU$16)-YEAR(InicioFuncion)))-$D31+IF($D31&lt;&gt;"",1,0),0,IF(BU$15&gt;$B$9,0,IF((YEAR($B$8)-YEAR($B$7))*12+(MONTH($B$8)-MONTH($B$7))+$E$14&lt;=BT$14,$C31))))*HLOOKUP(YEAR(BU$16),$E$3:$O$5,3,0),0)))</f>
        <v>0</v>
      </c>
      <c r="BV31" s="1">
        <f t="shared" ref="BV31:BV35" si="132">+(IF($A31="","",IF(BV$15&gt;12,IF($D31&gt;MONTH(BV$16)-MONTH(InicioFuncion)+12*(YEAR(BV$16)-YEAR(InicioFuncion))+1,0,IF($E31&lt;=(MONTH(BV$16)-MONTH(InicioFuncion)+12*(YEAR(BV$16)-YEAR(InicioFuncion)))-$D31+IF($D31&lt;&gt;"",1,0),0,IF(BV$15&gt;$B$9,0,IF((YEAR($B$8)-YEAR($B$7))*12+(MONTH($B$8)-MONTH($B$7))+$E$14&lt;=BU$14,$C31))))*HLOOKUP(YEAR(BV$16),$E$3:$O$5,3,0),0)))</f>
        <v>0</v>
      </c>
      <c r="BW31" s="1">
        <f t="shared" ref="BW31:BW35" si="133">+(IF($A31="","",IF(BW$15&gt;12,IF($D31&gt;MONTH(BW$16)-MONTH(InicioFuncion)+12*(YEAR(BW$16)-YEAR(InicioFuncion))+1,0,IF($E31&lt;=(MONTH(BW$16)-MONTH(InicioFuncion)+12*(YEAR(BW$16)-YEAR(InicioFuncion)))-$D31+IF($D31&lt;&gt;"",1,0),0,IF(BW$15&gt;$B$9,0,IF((YEAR($B$8)-YEAR($B$7))*12+(MONTH($B$8)-MONTH($B$7))+$E$14&lt;=BV$14,$C31))))*HLOOKUP(YEAR(BW$16),$E$3:$O$5,3,0),0)))</f>
        <v>0</v>
      </c>
      <c r="BX31" s="1">
        <f t="shared" ref="BX31:BX35" si="134">+(IF($A31="","",IF(BX$15&gt;12,IF($D31&gt;MONTH(BX$16)-MONTH(InicioFuncion)+12*(YEAR(BX$16)-YEAR(InicioFuncion))+1,0,IF($E31&lt;=(MONTH(BX$16)-MONTH(InicioFuncion)+12*(YEAR(BX$16)-YEAR(InicioFuncion)))-$D31+IF($D31&lt;&gt;"",1,0),0,IF(BX$15&gt;$B$9,0,IF((YEAR($B$8)-YEAR($B$7))*12+(MONTH($B$8)-MONTH($B$7))+$E$14&lt;=BW$14,$C31))))*HLOOKUP(YEAR(BX$16),$E$3:$O$5,3,0),0)))</f>
        <v>0</v>
      </c>
      <c r="BY31" s="1">
        <f t="shared" ref="BY31:BY35" si="135">+(IF($A31="","",IF(BY$15&gt;12,IF($D31&gt;MONTH(BY$16)-MONTH(InicioFuncion)+12*(YEAR(BY$16)-YEAR(InicioFuncion))+1,0,IF($E31&lt;=(MONTH(BY$16)-MONTH(InicioFuncion)+12*(YEAR(BY$16)-YEAR(InicioFuncion)))-$D31+IF($D31&lt;&gt;"",1,0),0,IF(BY$15&gt;$B$9,0,IF((YEAR($B$8)-YEAR($B$7))*12+(MONTH($B$8)-MONTH($B$7))+$E$14&lt;=BX$14,$C31))))*HLOOKUP(YEAR(BY$16),$E$3:$O$5,3,0),0)))</f>
        <v>0</v>
      </c>
      <c r="BZ31" s="1">
        <f t="shared" ref="BZ31:BZ35" si="136">+(IF($A31="","",IF(BZ$15&gt;12,IF($D31&gt;MONTH(BZ$16)-MONTH(InicioFuncion)+12*(YEAR(BZ$16)-YEAR(InicioFuncion))+1,0,IF($E31&lt;=(MONTH(BZ$16)-MONTH(InicioFuncion)+12*(YEAR(BZ$16)-YEAR(InicioFuncion)))-$D31+IF($D31&lt;&gt;"",1,0),0,IF(BZ$15&gt;$B$9,0,IF((YEAR($B$8)-YEAR($B$7))*12+(MONTH($B$8)-MONTH($B$7))+$E$14&lt;=BY$14,$C31))))*HLOOKUP(YEAR(BZ$16),$E$3:$O$5,3,0),0)))</f>
        <v>0</v>
      </c>
      <c r="CA31" s="1">
        <f t="shared" ref="CA31:CA35" si="137">+(IF($A31="","",IF(CA$15&gt;12,IF($D31&gt;MONTH(CA$16)-MONTH(InicioFuncion)+12*(YEAR(CA$16)-YEAR(InicioFuncion))+1,0,IF($E31&lt;=(MONTH(CA$16)-MONTH(InicioFuncion)+12*(YEAR(CA$16)-YEAR(InicioFuncion)))-$D31+IF($D31&lt;&gt;"",1,0),0,IF(CA$15&gt;$B$9,0,IF((YEAR($B$8)-YEAR($B$7))*12+(MONTH($B$8)-MONTH($B$7))+$E$14&lt;=BZ$14,$C31))))*HLOOKUP(YEAR(CA$16),$E$3:$O$5,3,0),0)))</f>
        <v>0</v>
      </c>
      <c r="CB31" s="1">
        <f t="shared" ref="CB31:CB35" si="138">+(IF($A31="","",IF(CB$15&gt;12,IF($D31&gt;MONTH(CB$16)-MONTH(InicioFuncion)+12*(YEAR(CB$16)-YEAR(InicioFuncion))+1,0,IF($E31&lt;=(MONTH(CB$16)-MONTH(InicioFuncion)+12*(YEAR(CB$16)-YEAR(InicioFuncion)))-$D31+IF($D31&lt;&gt;"",1,0),0,IF(CB$15&gt;$B$9,0,IF((YEAR($B$8)-YEAR($B$7))*12+(MONTH($B$8)-MONTH($B$7))+$E$14&lt;=CA$14,$C31))))*HLOOKUP(YEAR(CB$16),$E$3:$O$5,3,0),0)))</f>
        <v>0</v>
      </c>
      <c r="CC31" s="1">
        <f t="shared" ref="CC31:CC35" si="139">+(IF($A31="","",IF(CC$15&gt;12,IF($D31&gt;MONTH(CC$16)-MONTH(InicioFuncion)+12*(YEAR(CC$16)-YEAR(InicioFuncion))+1,0,IF($E31&lt;=(MONTH(CC$16)-MONTH(InicioFuncion)+12*(YEAR(CC$16)-YEAR(InicioFuncion)))-$D31+IF($D31&lt;&gt;"",1,0),0,IF(CC$15&gt;$B$9,0,IF((YEAR($B$8)-YEAR($B$7))*12+(MONTH($B$8)-MONTH($B$7))+$E$14&lt;=CB$14,$C31))))*HLOOKUP(YEAR(CC$16),$E$3:$O$5,3,0),0)))</f>
        <v>0</v>
      </c>
      <c r="CD31" s="1">
        <f t="shared" ref="CD31:CD35" si="140">+(IF($A31="","",IF(CD$15&gt;12,IF($D31&gt;MONTH(CD$16)-MONTH(InicioFuncion)+12*(YEAR(CD$16)-YEAR(InicioFuncion))+1,0,IF($E31&lt;=(MONTH(CD$16)-MONTH(InicioFuncion)+12*(YEAR(CD$16)-YEAR(InicioFuncion)))-$D31+IF($D31&lt;&gt;"",1,0),0,IF(CD$15&gt;$B$9,0,IF((YEAR($B$8)-YEAR($B$7))*12+(MONTH($B$8)-MONTH($B$7))+$E$14&lt;=CC$14,$C31))))*HLOOKUP(YEAR(CD$16),$E$3:$O$5,3,0),0)))</f>
        <v>0</v>
      </c>
      <c r="CE31" s="1">
        <f t="shared" ref="CE31:CE35" si="141">+(IF($A31="","",IF(CE$15&gt;12,IF($D31&gt;MONTH(CE$16)-MONTH(InicioFuncion)+12*(YEAR(CE$16)-YEAR(InicioFuncion))+1,0,IF($E31&lt;=(MONTH(CE$16)-MONTH(InicioFuncion)+12*(YEAR(CE$16)-YEAR(InicioFuncion)))-$D31+IF($D31&lt;&gt;"",1,0),0,IF(CE$15&gt;$B$9,0,IF((YEAR($B$8)-YEAR($B$7))*12+(MONTH($B$8)-MONTH($B$7))+$E$14&lt;=CD$14,$C31))))*HLOOKUP(YEAR(CE$16),$E$3:$O$5,3,0),0)))</f>
        <v>0</v>
      </c>
      <c r="CF31" s="1">
        <f t="shared" ref="CF31:CF35" si="142">+(IF($A31="","",IF(CF$15&gt;12,IF($D31&gt;MONTH(CF$16)-MONTH(InicioFuncion)+12*(YEAR(CF$16)-YEAR(InicioFuncion))+1,0,IF($E31&lt;=(MONTH(CF$16)-MONTH(InicioFuncion)+12*(YEAR(CF$16)-YEAR(InicioFuncion)))-$D31+IF($D31&lt;&gt;"",1,0),0,IF(CF$15&gt;$B$9,0,IF((YEAR($B$8)-YEAR($B$7))*12+(MONTH($B$8)-MONTH($B$7))+$E$14&lt;=CE$14,$C31))))*HLOOKUP(YEAR(CF$16),$E$3:$O$5,3,0),0)))</f>
        <v>0</v>
      </c>
      <c r="CG31" s="1">
        <f t="shared" ref="CG31:CG35" si="143">+(IF($A31="","",IF(CG$15&gt;12,IF($D31&gt;MONTH(CG$16)-MONTH(InicioFuncion)+12*(YEAR(CG$16)-YEAR(InicioFuncion))+1,0,IF($E31&lt;=(MONTH(CG$16)-MONTH(InicioFuncion)+12*(YEAR(CG$16)-YEAR(InicioFuncion)))-$D31+IF($D31&lt;&gt;"",1,0),0,IF(CG$15&gt;$B$9,0,IF((YEAR($B$8)-YEAR($B$7))*12+(MONTH($B$8)-MONTH($B$7))+$E$14&lt;=CF$14,$C31))))*HLOOKUP(YEAR(CG$16),$E$3:$O$5,3,0),0)))</f>
        <v>0</v>
      </c>
      <c r="CH31" s="1">
        <f t="shared" ref="CH31:CH35" si="144">+(IF($A31="","",IF(CH$15&gt;12,IF($D31&gt;MONTH(CH$16)-MONTH(InicioFuncion)+12*(YEAR(CH$16)-YEAR(InicioFuncion))+1,0,IF($E31&lt;=(MONTH(CH$16)-MONTH(InicioFuncion)+12*(YEAR(CH$16)-YEAR(InicioFuncion)))-$D31+IF($D31&lt;&gt;"",1,0),0,IF(CH$15&gt;$B$9,0,IF((YEAR($B$8)-YEAR($B$7))*12+(MONTH($B$8)-MONTH($B$7))+$E$14&lt;=CG$14,$C31))))*HLOOKUP(YEAR(CH$16),$E$3:$O$5,3,0),0)))</f>
        <v>0</v>
      </c>
      <c r="CI31" s="1">
        <f t="shared" ref="CI31:CI35" si="145">+(IF($A31="","",IF(CI$15&gt;12,IF($D31&gt;MONTH(CI$16)-MONTH(InicioFuncion)+12*(YEAR(CI$16)-YEAR(InicioFuncion))+1,0,IF($E31&lt;=(MONTH(CI$16)-MONTH(InicioFuncion)+12*(YEAR(CI$16)-YEAR(InicioFuncion)))-$D31+IF($D31&lt;&gt;"",1,0),0,IF(CI$15&gt;$B$9,0,IF((YEAR($B$8)-YEAR($B$7))*12+(MONTH($B$8)-MONTH($B$7))+$E$14&lt;=CH$14,$C31))))*HLOOKUP(YEAR(CI$16),$E$3:$O$5,3,0),0)))</f>
        <v>0</v>
      </c>
      <c r="CJ31" s="1">
        <f t="shared" ref="CJ31:CJ35" si="146">+(IF($A31="","",IF(CJ$15&gt;12,IF($D31&gt;MONTH(CJ$16)-MONTH(InicioFuncion)+12*(YEAR(CJ$16)-YEAR(InicioFuncion))+1,0,IF($E31&lt;=(MONTH(CJ$16)-MONTH(InicioFuncion)+12*(YEAR(CJ$16)-YEAR(InicioFuncion)))-$D31+IF($D31&lt;&gt;"",1,0),0,IF(CJ$15&gt;$B$9,0,IF((YEAR($B$8)-YEAR($B$7))*12+(MONTH($B$8)-MONTH($B$7))+$E$14&lt;=CI$14,$C31))))*HLOOKUP(YEAR(CJ$16),$E$3:$O$5,3,0),0)))</f>
        <v>0</v>
      </c>
      <c r="CK31" s="1">
        <f t="shared" ref="CK31:CK35" si="147">+(IF($A31="","",IF(CK$15&gt;12,IF($D31&gt;MONTH(CK$16)-MONTH(InicioFuncion)+12*(YEAR(CK$16)-YEAR(InicioFuncion))+1,0,IF($E31&lt;=(MONTH(CK$16)-MONTH(InicioFuncion)+12*(YEAR(CK$16)-YEAR(InicioFuncion)))-$D31+IF($D31&lt;&gt;"",1,0),0,IF(CK$15&gt;$B$9,0,IF((YEAR($B$8)-YEAR($B$7))*12+(MONTH($B$8)-MONTH($B$7))+$E$14&lt;=CJ$14,$C31))))*HLOOKUP(YEAR(CK$16),$E$3:$O$5,3,0),0)))</f>
        <v>0</v>
      </c>
      <c r="CL31" s="1">
        <f t="shared" ref="CL31:CL35" si="148">+(IF($A31="","",IF(CL$15&gt;12,IF($D31&gt;MONTH(CL$16)-MONTH(InicioFuncion)+12*(YEAR(CL$16)-YEAR(InicioFuncion))+1,0,IF($E31&lt;=(MONTH(CL$16)-MONTH(InicioFuncion)+12*(YEAR(CL$16)-YEAR(InicioFuncion)))-$D31+IF($D31&lt;&gt;"",1,0),0,IF(CL$15&gt;$B$9,0,IF((YEAR($B$8)-YEAR($B$7))*12+(MONTH($B$8)-MONTH($B$7))+$E$14&lt;=CK$14,$C31))))*HLOOKUP(YEAR(CL$16),$E$3:$O$5,3,0),0)))</f>
        <v>0</v>
      </c>
      <c r="CM31" s="1">
        <f t="shared" ref="CM31:CM35" si="149">+(IF($A31="","",IF(CM$15&gt;12,IF($D31&gt;MONTH(CM$16)-MONTH(InicioFuncion)+12*(YEAR(CM$16)-YEAR(InicioFuncion))+1,0,IF($E31&lt;=(MONTH(CM$16)-MONTH(InicioFuncion)+12*(YEAR(CM$16)-YEAR(InicioFuncion)))-$D31+IF($D31&lt;&gt;"",1,0),0,IF(CM$15&gt;$B$9,0,IF((YEAR($B$8)-YEAR($B$7))*12+(MONTH($B$8)-MONTH($B$7))+$E$14&lt;=CL$14,$C31))))*HLOOKUP(YEAR(CM$16),$E$3:$O$5,3,0),0)))</f>
        <v>0</v>
      </c>
      <c r="CN31" s="1">
        <f t="shared" ref="CN31:CN35" si="150">+(IF($A31="","",IF(CN$15&gt;12,IF($D31&gt;MONTH(CN$16)-MONTH(InicioFuncion)+12*(YEAR(CN$16)-YEAR(InicioFuncion))+1,0,IF($E31&lt;=(MONTH(CN$16)-MONTH(InicioFuncion)+12*(YEAR(CN$16)-YEAR(InicioFuncion)))-$D31+IF($D31&lt;&gt;"",1,0),0,IF(CN$15&gt;$B$9,0,IF((YEAR($B$8)-YEAR($B$7))*12+(MONTH($B$8)-MONTH($B$7))+$E$14&lt;=CM$14,$C31))))*HLOOKUP(YEAR(CN$16),$E$3:$O$5,3,0),0)))</f>
        <v>0</v>
      </c>
      <c r="CO31" s="1">
        <f t="shared" ref="CO31:CO35" si="151">+(IF($A31="","",IF(CO$15&gt;12,IF($D31&gt;MONTH(CO$16)-MONTH(InicioFuncion)+12*(YEAR(CO$16)-YEAR(InicioFuncion))+1,0,IF($E31&lt;=(MONTH(CO$16)-MONTH(InicioFuncion)+12*(YEAR(CO$16)-YEAR(InicioFuncion)))-$D31+IF($D31&lt;&gt;"",1,0),0,IF(CO$15&gt;$B$9,0,IF((YEAR($B$8)-YEAR($B$7))*12+(MONTH($B$8)-MONTH($B$7))+$E$14&lt;=CN$14,$C31))))*HLOOKUP(YEAR(CO$16),$E$3:$O$5,3,0),0)))</f>
        <v>0</v>
      </c>
      <c r="CP31" s="1">
        <f t="shared" ref="CP31:CP35" si="152">+(IF($A31="","",IF(CP$15&gt;12,IF($D31&gt;MONTH(CP$16)-MONTH(InicioFuncion)+12*(YEAR(CP$16)-YEAR(InicioFuncion))+1,0,IF($E31&lt;=(MONTH(CP$16)-MONTH(InicioFuncion)+12*(YEAR(CP$16)-YEAR(InicioFuncion)))-$D31+IF($D31&lt;&gt;"",1,0),0,IF(CP$15&gt;$B$9,0,IF((YEAR($B$8)-YEAR($B$7))*12+(MONTH($B$8)-MONTH($B$7))+$E$14&lt;=CO$14,$C31))))*HLOOKUP(YEAR(CP$16),$E$3:$O$5,3,0),0)))</f>
        <v>0</v>
      </c>
      <c r="CQ31" s="1">
        <f t="shared" ref="CQ31:CQ35" si="153">+(IF($A31="","",IF(CQ$15&gt;12,IF($D31&gt;MONTH(CQ$16)-MONTH(InicioFuncion)+12*(YEAR(CQ$16)-YEAR(InicioFuncion))+1,0,IF($E31&lt;=(MONTH(CQ$16)-MONTH(InicioFuncion)+12*(YEAR(CQ$16)-YEAR(InicioFuncion)))-$D31+IF($D31&lt;&gt;"",1,0),0,IF(CQ$15&gt;$B$9,0,IF((YEAR($B$8)-YEAR($B$7))*12+(MONTH($B$8)-MONTH($B$7))+$E$14&lt;=CP$14,$C31))))*HLOOKUP(YEAR(CQ$16),$E$3:$O$5,3,0),0)))</f>
        <v>0</v>
      </c>
      <c r="CR31" s="1">
        <f t="shared" ref="CR31:CR35" si="154">+(IF($A31="","",IF(CR$15&gt;12,IF($D31&gt;MONTH(CR$16)-MONTH(InicioFuncion)+12*(YEAR(CR$16)-YEAR(InicioFuncion))+1,0,IF($E31&lt;=(MONTH(CR$16)-MONTH(InicioFuncion)+12*(YEAR(CR$16)-YEAR(InicioFuncion)))-$D31+IF($D31&lt;&gt;"",1,0),0,IF(CR$15&gt;$B$9,0,IF((YEAR($B$8)-YEAR($B$7))*12+(MONTH($B$8)-MONTH($B$7))+$E$14&lt;=CQ$14,$C31))))*HLOOKUP(YEAR(CR$16),$E$3:$O$5,3,0),0)))</f>
        <v>0</v>
      </c>
      <c r="CS31" s="1">
        <f t="shared" ref="CS31:CS35" si="155">+(IF($A31="","",IF(CS$15&gt;12,IF($D31&gt;MONTH(CS$16)-MONTH(InicioFuncion)+12*(YEAR(CS$16)-YEAR(InicioFuncion))+1,0,IF($E31&lt;=(MONTH(CS$16)-MONTH(InicioFuncion)+12*(YEAR(CS$16)-YEAR(InicioFuncion)))-$D31+IF($D31&lt;&gt;"",1,0),0,IF(CS$15&gt;$B$9,0,IF((YEAR($B$8)-YEAR($B$7))*12+(MONTH($B$8)-MONTH($B$7))+$E$14&lt;=CR$14,$C31))))*HLOOKUP(YEAR(CS$16),$E$3:$O$5,3,0),0)))</f>
        <v>0</v>
      </c>
      <c r="CT31" s="1">
        <f t="shared" ref="CT31:CT35" si="156">+(IF($A31="","",IF(CT$15&gt;12,IF($D31&gt;MONTH(CT$16)-MONTH(InicioFuncion)+12*(YEAR(CT$16)-YEAR(InicioFuncion))+1,0,IF($E31&lt;=(MONTH(CT$16)-MONTH(InicioFuncion)+12*(YEAR(CT$16)-YEAR(InicioFuncion)))-$D31+IF($D31&lt;&gt;"",1,0),0,IF(CT$15&gt;$B$9,0,IF((YEAR($B$8)-YEAR($B$7))*12+(MONTH($B$8)-MONTH($B$7))+$E$14&lt;=CS$14,$C31))))*HLOOKUP(YEAR(CT$16),$E$3:$O$5,3,0),0)))</f>
        <v>0</v>
      </c>
      <c r="CU31" s="1">
        <f t="shared" ref="CU31:CU35" si="157">+(IF($A31="","",IF(CU$15&gt;12,IF($D31&gt;MONTH(CU$16)-MONTH(InicioFuncion)+12*(YEAR(CU$16)-YEAR(InicioFuncion))+1,0,IF($E31&lt;=(MONTH(CU$16)-MONTH(InicioFuncion)+12*(YEAR(CU$16)-YEAR(InicioFuncion)))-$D31+IF($D31&lt;&gt;"",1,0),0,IF(CU$15&gt;$B$9,0,IF((YEAR($B$8)-YEAR($B$7))*12+(MONTH($B$8)-MONTH($B$7))+$E$14&lt;=CT$14,$C31))))*HLOOKUP(YEAR(CU$16),$E$3:$O$5,3,0),0)))</f>
        <v>0</v>
      </c>
      <c r="CV31" s="1">
        <f t="shared" ref="CV31:CV35" si="158">+(IF($A31="","",IF(CV$15&gt;12,IF($D31&gt;MONTH(CV$16)-MONTH(InicioFuncion)+12*(YEAR(CV$16)-YEAR(InicioFuncion))+1,0,IF($E31&lt;=(MONTH(CV$16)-MONTH(InicioFuncion)+12*(YEAR(CV$16)-YEAR(InicioFuncion)))-$D31+IF($D31&lt;&gt;"",1,0),0,IF(CV$15&gt;$B$9,0,IF((YEAR($B$8)-YEAR($B$7))*12+(MONTH($B$8)-MONTH($B$7))+$E$14&lt;=CU$14,$C31))))*HLOOKUP(YEAR(CV$16),$E$3:$O$5,3,0),0)))</f>
        <v>0</v>
      </c>
      <c r="CW31" s="1">
        <f t="shared" ref="CW31:CW35" si="159">+(IF($A31="","",IF(CW$15&gt;12,IF($D31&gt;MONTH(CW$16)-MONTH(InicioFuncion)+12*(YEAR(CW$16)-YEAR(InicioFuncion))+1,0,IF($E31&lt;=(MONTH(CW$16)-MONTH(InicioFuncion)+12*(YEAR(CW$16)-YEAR(InicioFuncion)))-$D31+IF($D31&lt;&gt;"",1,0),0,IF(CW$15&gt;$B$9,0,IF((YEAR($B$8)-YEAR($B$7))*12+(MONTH($B$8)-MONTH($B$7))+$E$14&lt;=CV$14,$C31))))*HLOOKUP(YEAR(CW$16),$E$3:$O$5,3,0),0)))</f>
        <v>0</v>
      </c>
      <c r="CX31" s="1">
        <f t="shared" ref="CX31:CX35" si="160">+(IF($A31="","",IF(CX$15&gt;12,IF($D31&gt;MONTH(CX$16)-MONTH(InicioFuncion)+12*(YEAR(CX$16)-YEAR(InicioFuncion))+1,0,IF($E31&lt;=(MONTH(CX$16)-MONTH(InicioFuncion)+12*(YEAR(CX$16)-YEAR(InicioFuncion)))-$D31+IF($D31&lt;&gt;"",1,0),0,IF(CX$15&gt;$B$9,0,IF((YEAR($B$8)-YEAR($B$7))*12+(MONTH($B$8)-MONTH($B$7))+$E$14&lt;=CW$14,$C31))))*HLOOKUP(YEAR(CX$16),$E$3:$O$5,3,0),0)))</f>
        <v>0</v>
      </c>
      <c r="CY31" s="1">
        <f t="shared" ref="CY31:CY35" si="161">+(IF($A31="","",IF(CY$15&gt;12,IF($D31&gt;MONTH(CY$16)-MONTH(InicioFuncion)+12*(YEAR(CY$16)-YEAR(InicioFuncion))+1,0,IF($E31&lt;=(MONTH(CY$16)-MONTH(InicioFuncion)+12*(YEAR(CY$16)-YEAR(InicioFuncion)))-$D31+IF($D31&lt;&gt;"",1,0),0,IF(CY$15&gt;$B$9,0,IF((YEAR($B$8)-YEAR($B$7))*12+(MONTH($B$8)-MONTH($B$7))+$E$14&lt;=CX$14,$C31))))*HLOOKUP(YEAR(CY$16),$E$3:$O$5,3,0),0)))</f>
        <v>0</v>
      </c>
      <c r="CZ31" s="1">
        <f t="shared" ref="CZ31:CZ35" si="162">+(IF($A31="","",IF(CZ$15&gt;12,IF($D31&gt;MONTH(CZ$16)-MONTH(InicioFuncion)+12*(YEAR(CZ$16)-YEAR(InicioFuncion))+1,0,IF($E31&lt;=(MONTH(CZ$16)-MONTH(InicioFuncion)+12*(YEAR(CZ$16)-YEAR(InicioFuncion)))-$D31+IF($D31&lt;&gt;"",1,0),0,IF(CZ$15&gt;$B$9,0,IF((YEAR($B$8)-YEAR($B$7))*12+(MONTH($B$8)-MONTH($B$7))+$E$14&lt;=CY$14,$C31))))*HLOOKUP(YEAR(CZ$16),$E$3:$O$5,3,0),0)))</f>
        <v>0</v>
      </c>
      <c r="DA31" s="1">
        <f t="shared" ref="DA31:DA35" si="163">+(IF($A31="","",IF(DA$15&gt;12,IF($D31&gt;MONTH(DA$16)-MONTH(InicioFuncion)+12*(YEAR(DA$16)-YEAR(InicioFuncion))+1,0,IF($E31&lt;=(MONTH(DA$16)-MONTH(InicioFuncion)+12*(YEAR(DA$16)-YEAR(InicioFuncion)))-$D31+IF($D31&lt;&gt;"",1,0),0,IF(DA$15&gt;$B$9,0,IF((YEAR($B$8)-YEAR($B$7))*12+(MONTH($B$8)-MONTH($B$7))+$E$14&lt;=CZ$14,$C31))))*HLOOKUP(YEAR(DA$16),$E$3:$O$5,3,0),0)))</f>
        <v>0</v>
      </c>
      <c r="DB31" s="1">
        <f t="shared" ref="DB31:DB35" si="164">+(IF($A31="","",IF(DB$15&gt;12,IF($D31&gt;MONTH(DB$16)-MONTH(InicioFuncion)+12*(YEAR(DB$16)-YEAR(InicioFuncion))+1,0,IF($E31&lt;=(MONTH(DB$16)-MONTH(InicioFuncion)+12*(YEAR(DB$16)-YEAR(InicioFuncion)))-$D31+IF($D31&lt;&gt;"",1,0),0,IF(DB$15&gt;$B$9,0,IF((YEAR($B$8)-YEAR($B$7))*12+(MONTH($B$8)-MONTH($B$7))+$E$14&lt;=DA$14,$C31))))*HLOOKUP(YEAR(DB$16),$E$3:$O$5,3,0),0)))</f>
        <v>0</v>
      </c>
      <c r="DC31" s="1">
        <f t="shared" ref="DC31:DC35" si="165">+(IF($A31="","",IF(DC$15&gt;12,IF($D31&gt;MONTH(DC$16)-MONTH(InicioFuncion)+12*(YEAR(DC$16)-YEAR(InicioFuncion))+1,0,IF($E31&lt;=(MONTH(DC$16)-MONTH(InicioFuncion)+12*(YEAR(DC$16)-YEAR(InicioFuncion)))-$D31+IF($D31&lt;&gt;"",1,0),0,IF(DC$15&gt;$B$9,0,IF((YEAR($B$8)-YEAR($B$7))*12+(MONTH($B$8)-MONTH($B$7))+$E$14&lt;=DB$14,$C31))))*HLOOKUP(YEAR(DC$16),$E$3:$O$5,3,0),0)))</f>
        <v>0</v>
      </c>
      <c r="DD31" s="1">
        <f t="shared" ref="DD31:DD35" si="166">+(IF($A31="","",IF(DD$15&gt;12,IF($D31&gt;MONTH(DD$16)-MONTH(InicioFuncion)+12*(YEAR(DD$16)-YEAR(InicioFuncion))+1,0,IF($E31&lt;=(MONTH(DD$16)-MONTH(InicioFuncion)+12*(YEAR(DD$16)-YEAR(InicioFuncion)))-$D31+IF($D31&lt;&gt;"",1,0),0,IF(DD$15&gt;$B$9,0,IF((YEAR($B$8)-YEAR($B$7))*12+(MONTH($B$8)-MONTH($B$7))+$E$14&lt;=DC$14,$C31))))*HLOOKUP(YEAR(DD$16),$E$3:$O$5,3,0),0)))</f>
        <v>0</v>
      </c>
      <c r="DE31" s="1">
        <f t="shared" ref="DE31:DE35" si="167">+(IF($A31="","",IF(DE$15&gt;12,IF($D31&gt;MONTH(DE$16)-MONTH(InicioFuncion)+12*(YEAR(DE$16)-YEAR(InicioFuncion))+1,0,IF($E31&lt;=(MONTH(DE$16)-MONTH(InicioFuncion)+12*(YEAR(DE$16)-YEAR(InicioFuncion)))-$D31+IF($D31&lt;&gt;"",1,0),0,IF(DE$15&gt;$B$9,0,IF((YEAR($B$8)-YEAR($B$7))*12+(MONTH($B$8)-MONTH($B$7))+$E$14&lt;=DD$14,$C31))))*HLOOKUP(YEAR(DE$16),$E$3:$O$5,3,0),0)))</f>
        <v>0</v>
      </c>
      <c r="DF31" s="1">
        <f t="shared" ref="DF31:DF35" si="168">+(IF($A31="","",IF(DF$15&gt;12,IF($D31&gt;MONTH(DF$16)-MONTH(InicioFuncion)+12*(YEAR(DF$16)-YEAR(InicioFuncion))+1,0,IF($E31&lt;=(MONTH(DF$16)-MONTH(InicioFuncion)+12*(YEAR(DF$16)-YEAR(InicioFuncion)))-$D31+IF($D31&lt;&gt;"",1,0),0,IF(DF$15&gt;$B$9,0,IF((YEAR($B$8)-YEAR($B$7))*12+(MONTH($B$8)-MONTH($B$7))+$E$14&lt;=DE$14,$C31))))*HLOOKUP(YEAR(DF$16),$E$3:$O$5,3,0),0)))</f>
        <v>0</v>
      </c>
      <c r="DG31" s="1">
        <f t="shared" ref="DG31:DG35" si="169">+(IF($A31="","",IF(DG$15&gt;12,IF($D31&gt;MONTH(DG$16)-MONTH(InicioFuncion)+12*(YEAR(DG$16)-YEAR(InicioFuncion))+1,0,IF($E31&lt;=(MONTH(DG$16)-MONTH(InicioFuncion)+12*(YEAR(DG$16)-YEAR(InicioFuncion)))-$D31+IF($D31&lt;&gt;"",1,0),0,IF(DG$15&gt;$B$9,0,IF((YEAR($B$8)-YEAR($B$7))*12+(MONTH($B$8)-MONTH($B$7))+$E$14&lt;=DF$14,$C31))))*HLOOKUP(YEAR(DG$16),$E$3:$O$5,3,0),0)))</f>
        <v>0</v>
      </c>
      <c r="DH31" s="1">
        <f t="shared" ref="DH31:DH35" si="170">+(IF($A31="","",IF(DH$15&gt;12,IF($D31&gt;MONTH(DH$16)-MONTH(InicioFuncion)+12*(YEAR(DH$16)-YEAR(InicioFuncion))+1,0,IF($E31&lt;=(MONTH(DH$16)-MONTH(InicioFuncion)+12*(YEAR(DH$16)-YEAR(InicioFuncion)))-$D31+IF($D31&lt;&gt;"",1,0),0,IF(DH$15&gt;$B$9,0,IF((YEAR($B$8)-YEAR($B$7))*12+(MONTH($B$8)-MONTH($B$7))+$E$14&lt;=DG$14,$C31))))*HLOOKUP(YEAR(DH$16),$E$3:$O$5,3,0),0)))</f>
        <v>0</v>
      </c>
      <c r="DI31" s="1">
        <f t="shared" ref="DI31:DI35" si="171">+(IF($A31="","",IF(DI$15&gt;12,IF($D31&gt;MONTH(DI$16)-MONTH(InicioFuncion)+12*(YEAR(DI$16)-YEAR(InicioFuncion))+1,0,IF($E31&lt;=(MONTH(DI$16)-MONTH(InicioFuncion)+12*(YEAR(DI$16)-YEAR(InicioFuncion)))-$D31+IF($D31&lt;&gt;"",1,0),0,IF(DI$15&gt;$B$9,0,IF((YEAR($B$8)-YEAR($B$7))*12+(MONTH($B$8)-MONTH($B$7))+$E$14&lt;=DH$14,$C31))))*HLOOKUP(YEAR(DI$16),$E$3:$O$5,3,0),0)))</f>
        <v>0</v>
      </c>
      <c r="DJ31" s="1">
        <f t="shared" ref="DJ31:DJ35" si="172">+(IF($A31="","",IF(DJ$15&gt;12,IF($D31&gt;MONTH(DJ$16)-MONTH(InicioFuncion)+12*(YEAR(DJ$16)-YEAR(InicioFuncion))+1,0,IF($E31&lt;=(MONTH(DJ$16)-MONTH(InicioFuncion)+12*(YEAR(DJ$16)-YEAR(InicioFuncion)))-$D31+IF($D31&lt;&gt;"",1,0),0,IF(DJ$15&gt;$B$9,0,IF((YEAR($B$8)-YEAR($B$7))*12+(MONTH($B$8)-MONTH($B$7))+$E$14&lt;=DI$14,$C31))))*HLOOKUP(YEAR(DJ$16),$E$3:$O$5,3,0),0)))</f>
        <v>0</v>
      </c>
      <c r="DK31" s="1">
        <f t="shared" ref="DK31:DK35" si="173">+(IF($A31="","",IF(DK$15&gt;12,IF($D31&gt;MONTH(DK$16)-MONTH(InicioFuncion)+12*(YEAR(DK$16)-YEAR(InicioFuncion))+1,0,IF($E31&lt;=(MONTH(DK$16)-MONTH(InicioFuncion)+12*(YEAR(DK$16)-YEAR(InicioFuncion)))-$D31+IF($D31&lt;&gt;"",1,0),0,IF(DK$15&gt;$B$9,0,IF((YEAR($B$8)-YEAR($B$7))*12+(MONTH($B$8)-MONTH($B$7))+$E$14&lt;=DJ$14,$C31))))*HLOOKUP(YEAR(DK$16),$E$3:$O$5,3,0),0)))</f>
        <v>0</v>
      </c>
      <c r="DL31" s="1">
        <f t="shared" ref="DL31:DL35" si="174">+(IF($A31="","",IF(DL$15&gt;12,IF($D31&gt;MONTH(DL$16)-MONTH(InicioFuncion)+12*(YEAR(DL$16)-YEAR(InicioFuncion))+1,0,IF($E31&lt;=(MONTH(DL$16)-MONTH(InicioFuncion)+12*(YEAR(DL$16)-YEAR(InicioFuncion)))-$D31+IF($D31&lt;&gt;"",1,0),0,IF(DL$15&gt;$B$9,0,IF((YEAR($B$8)-YEAR($B$7))*12+(MONTH($B$8)-MONTH($B$7))+$E$14&lt;=DK$14,$C31))))*HLOOKUP(YEAR(DL$16),$E$3:$O$5,3,0),0)))</f>
        <v>0</v>
      </c>
      <c r="DM31" s="1">
        <f t="shared" ref="DM31:DM35" si="175">+(IF($A31="","",IF(DM$15&gt;12,IF($D31&gt;MONTH(DM$16)-MONTH(InicioFuncion)+12*(YEAR(DM$16)-YEAR(InicioFuncion))+1,0,IF($E31&lt;=(MONTH(DM$16)-MONTH(InicioFuncion)+12*(YEAR(DM$16)-YEAR(InicioFuncion)))-$D31+IF($D31&lt;&gt;"",1,0),0,IF(DM$15&gt;$B$9,0,IF((YEAR($B$8)-YEAR($B$7))*12+(MONTH($B$8)-MONTH($B$7))+$E$14&lt;=DL$14,$C31))))*HLOOKUP(YEAR(DM$16),$E$3:$O$5,3,0),0)))</f>
        <v>0</v>
      </c>
      <c r="DN31" s="1">
        <f t="shared" ref="DN31:DN35" si="176">+(IF($A31="","",IF(DN$15&gt;12,IF($D31&gt;MONTH(DN$16)-MONTH(InicioFuncion)+12*(YEAR(DN$16)-YEAR(InicioFuncion))+1,0,IF($E31&lt;=(MONTH(DN$16)-MONTH(InicioFuncion)+12*(YEAR(DN$16)-YEAR(InicioFuncion)))-$D31+IF($D31&lt;&gt;"",1,0),0,IF(DN$15&gt;$B$9,0,IF((YEAR($B$8)-YEAR($B$7))*12+(MONTH($B$8)-MONTH($B$7))+$E$14&lt;=DM$14,$C31))))*HLOOKUP(YEAR(DN$16),$E$3:$O$5,3,0),0)))</f>
        <v>0</v>
      </c>
      <c r="DO31" s="1">
        <f t="shared" ref="DO31:DO35" si="177">+(IF($A31="","",IF(DO$15&gt;12,IF($D31&gt;MONTH(DO$16)-MONTH(InicioFuncion)+12*(YEAR(DO$16)-YEAR(InicioFuncion))+1,0,IF($E31&lt;=(MONTH(DO$16)-MONTH(InicioFuncion)+12*(YEAR(DO$16)-YEAR(InicioFuncion)))-$D31+IF($D31&lt;&gt;"",1,0),0,IF(DO$15&gt;$B$9,0,IF((YEAR($B$8)-YEAR($B$7))*12+(MONTH($B$8)-MONTH($B$7))+$E$14&lt;=DN$14,$C31))))*HLOOKUP(YEAR(DO$16),$E$3:$O$5,3,0),0)))</f>
        <v>0</v>
      </c>
      <c r="DP31" s="1">
        <f t="shared" ref="DP31:DP35" si="178">+(IF($A31="","",IF(DP$15&gt;12,IF($D31&gt;MONTH(DP$16)-MONTH(InicioFuncion)+12*(YEAR(DP$16)-YEAR(InicioFuncion))+1,0,IF($E31&lt;=(MONTH(DP$16)-MONTH(InicioFuncion)+12*(YEAR(DP$16)-YEAR(InicioFuncion)))-$D31+IF($D31&lt;&gt;"",1,0),0,IF(DP$15&gt;$B$9,0,IF((YEAR($B$8)-YEAR($B$7))*12+(MONTH($B$8)-MONTH($B$7))+$E$14&lt;=DO$14,$C31))))*HLOOKUP(YEAR(DP$16),$E$3:$O$5,3,0),0)))</f>
        <v>0</v>
      </c>
      <c r="DQ31" s="1">
        <f t="shared" ref="DQ31:DQ35" si="179">+(IF($A31="","",IF(DQ$15&gt;12,IF($D31&gt;MONTH(DQ$16)-MONTH(InicioFuncion)+12*(YEAR(DQ$16)-YEAR(InicioFuncion))+1,0,IF($E31&lt;=(MONTH(DQ$16)-MONTH(InicioFuncion)+12*(YEAR(DQ$16)-YEAR(InicioFuncion)))-$D31+IF($D31&lt;&gt;"",1,0),0,IF(DQ$15&gt;$B$9,0,IF((YEAR($B$8)-YEAR($B$7))*12+(MONTH($B$8)-MONTH($B$7))+$E$14&lt;=DP$14,$C31))))*HLOOKUP(YEAR(DQ$16),$E$3:$O$5,3,0),0)))</f>
        <v>0</v>
      </c>
      <c r="DR31" s="1">
        <f t="shared" ref="DR31:DR35" si="180">+(IF($A31="","",IF(DR$15&gt;12,IF($D31&gt;MONTH(DR$16)-MONTH(InicioFuncion)+12*(YEAR(DR$16)-YEAR(InicioFuncion))+1,0,IF($E31&lt;=(MONTH(DR$16)-MONTH(InicioFuncion)+12*(YEAR(DR$16)-YEAR(InicioFuncion)))-$D31+IF($D31&lt;&gt;"",1,0),0,IF(DR$15&gt;$B$9,0,IF((YEAR($B$8)-YEAR($B$7))*12+(MONTH($B$8)-MONTH($B$7))+$E$14&lt;=DQ$14,$C31))))*HLOOKUP(YEAR(DR$16),$E$3:$O$5,3,0),0)))</f>
        <v>0</v>
      </c>
      <c r="DS31" s="1">
        <f t="shared" ref="DS31:DS35" si="181">+(IF($A31="","",IF(DS$15&gt;12,IF($D31&gt;MONTH(DS$16)-MONTH(InicioFuncion)+12*(YEAR(DS$16)-YEAR(InicioFuncion))+1,0,IF($E31&lt;=(MONTH(DS$16)-MONTH(InicioFuncion)+12*(YEAR(DS$16)-YEAR(InicioFuncion)))-$D31+IF($D31&lt;&gt;"",1,0),0,IF(DS$15&gt;$B$9,0,IF((YEAR($B$8)-YEAR($B$7))*12+(MONTH($B$8)-MONTH($B$7))+$E$14&lt;=DR$14,$C31))))*HLOOKUP(YEAR(DS$16),$E$3:$O$5,3,0),0)))</f>
        <v>0</v>
      </c>
      <c r="DT31" s="1">
        <f t="shared" ref="DT31:DT35" si="182">+(IF($A31="","",IF(DT$15&gt;12,IF($D31&gt;MONTH(DT$16)-MONTH(InicioFuncion)+12*(YEAR(DT$16)-YEAR(InicioFuncion))+1,0,IF($E31&lt;=(MONTH(DT$16)-MONTH(InicioFuncion)+12*(YEAR(DT$16)-YEAR(InicioFuncion)))-$D31+IF($D31&lt;&gt;"",1,0),0,IF(DT$15&gt;$B$9,0,IF((YEAR($B$8)-YEAR($B$7))*12+(MONTH($B$8)-MONTH($B$7))+$E$14&lt;=DS$14,$C31))))*HLOOKUP(YEAR(DT$16),$E$3:$O$5,3,0),0)))</f>
        <v>0</v>
      </c>
      <c r="DU31" s="1">
        <f t="shared" ref="DU31:DU35" si="183">+(IF($A31="","",IF(DU$15&gt;12,IF($D31&gt;MONTH(DU$16)-MONTH(InicioFuncion)+12*(YEAR(DU$16)-YEAR(InicioFuncion))+1,0,IF($E31&lt;=(MONTH(DU$16)-MONTH(InicioFuncion)+12*(YEAR(DU$16)-YEAR(InicioFuncion)))-$D31+IF($D31&lt;&gt;"",1,0),0,IF(DU$15&gt;$B$9,0,IF((YEAR($B$8)-YEAR($B$7))*12+(MONTH($B$8)-MONTH($B$7))+$E$14&lt;=DT$14,$C31))))*HLOOKUP(YEAR(DU$16),$E$3:$O$5,3,0),0)))</f>
        <v>0</v>
      </c>
      <c r="DV31" s="1">
        <f t="shared" ref="DV31:DV35" si="184">+(IF($A31="","",IF(DV$15&gt;12,IF($D31&gt;MONTH(DV$16)-MONTH(InicioFuncion)+12*(YEAR(DV$16)-YEAR(InicioFuncion))+1,0,IF($E31&lt;=(MONTH(DV$16)-MONTH(InicioFuncion)+12*(YEAR(DV$16)-YEAR(InicioFuncion)))-$D31+IF($D31&lt;&gt;"",1,0),0,IF(DV$15&gt;$B$9,0,IF((YEAR($B$8)-YEAR($B$7))*12+(MONTH($B$8)-MONTH($B$7))+$E$14&lt;=DU$14,$C31))))*HLOOKUP(YEAR(DV$16),$E$3:$O$5,3,0),0)))</f>
        <v>0</v>
      </c>
    </row>
    <row r="32" spans="1:126" x14ac:dyDescent="0.25">
      <c r="A32" s="26" t="s">
        <v>35</v>
      </c>
      <c r="B32" s="26"/>
      <c r="C32" s="36">
        <f>+SUMIFS(ValoresMercado,Conceptos,A32,Tipo,TipoEspecifico)/12</f>
        <v>83333.333333333328</v>
      </c>
      <c r="D32" s="35"/>
      <c r="E32" s="35">
        <f t="shared" si="37"/>
        <v>56</v>
      </c>
      <c r="F32" s="1">
        <f t="shared" si="28"/>
        <v>0</v>
      </c>
      <c r="G32" s="1">
        <f t="shared" si="65"/>
        <v>0</v>
      </c>
      <c r="H32" s="1">
        <f t="shared" si="66"/>
        <v>0</v>
      </c>
      <c r="I32" s="1">
        <f t="shared" si="67"/>
        <v>0</v>
      </c>
      <c r="J32" s="1">
        <f t="shared" si="68"/>
        <v>0</v>
      </c>
      <c r="K32" s="1">
        <f t="shared" si="69"/>
        <v>0</v>
      </c>
      <c r="L32" s="1">
        <f t="shared" si="70"/>
        <v>0</v>
      </c>
      <c r="M32" s="1">
        <f t="shared" si="71"/>
        <v>0</v>
      </c>
      <c r="N32" s="1">
        <f t="shared" si="72"/>
        <v>0</v>
      </c>
      <c r="O32" s="1">
        <f t="shared" si="73"/>
        <v>0</v>
      </c>
      <c r="P32" s="1">
        <f t="shared" si="74"/>
        <v>0</v>
      </c>
      <c r="Q32" s="1">
        <f t="shared" si="75"/>
        <v>0</v>
      </c>
      <c r="R32" s="1">
        <f t="shared" si="76"/>
        <v>0</v>
      </c>
      <c r="S32" s="1">
        <f t="shared" si="77"/>
        <v>85833.333333333328</v>
      </c>
      <c r="T32" s="1">
        <f t="shared" si="78"/>
        <v>85833.333333333328</v>
      </c>
      <c r="U32" s="1">
        <f t="shared" si="79"/>
        <v>85833.333333333328</v>
      </c>
      <c r="V32" s="1">
        <f t="shared" si="80"/>
        <v>85833.333333333328</v>
      </c>
      <c r="W32" s="1">
        <f t="shared" si="81"/>
        <v>85833.333333333328</v>
      </c>
      <c r="X32" s="1">
        <f t="shared" si="82"/>
        <v>85833.333333333328</v>
      </c>
      <c r="Y32" s="1">
        <f t="shared" si="83"/>
        <v>85833.333333333328</v>
      </c>
      <c r="Z32" s="1">
        <f t="shared" si="84"/>
        <v>88408.333333333328</v>
      </c>
      <c r="AA32" s="1">
        <f t="shared" si="85"/>
        <v>88408.333333333328</v>
      </c>
      <c r="AB32" s="1">
        <f t="shared" si="86"/>
        <v>88408.333333333328</v>
      </c>
      <c r="AC32" s="1">
        <f t="shared" si="87"/>
        <v>88408.333333333328</v>
      </c>
      <c r="AD32" s="1">
        <f t="shared" si="88"/>
        <v>88408.333333333328</v>
      </c>
      <c r="AE32" s="1">
        <f t="shared" si="89"/>
        <v>88408.333333333328</v>
      </c>
      <c r="AF32" s="1">
        <f t="shared" si="90"/>
        <v>88408.333333333328</v>
      </c>
      <c r="AG32" s="1">
        <f t="shared" si="91"/>
        <v>88408.333333333328</v>
      </c>
      <c r="AH32" s="1">
        <f t="shared" si="92"/>
        <v>88408.333333333328</v>
      </c>
      <c r="AI32" s="1">
        <f t="shared" si="93"/>
        <v>88408.333333333328</v>
      </c>
      <c r="AJ32" s="1">
        <f t="shared" si="94"/>
        <v>88408.333333333328</v>
      </c>
      <c r="AK32" s="1">
        <f t="shared" si="95"/>
        <v>88408.333333333328</v>
      </c>
      <c r="AL32" s="1">
        <f t="shared" si="96"/>
        <v>91060.583333333328</v>
      </c>
      <c r="AM32" s="1">
        <f t="shared" si="97"/>
        <v>91060.583333333328</v>
      </c>
      <c r="AN32" s="1">
        <f t="shared" si="98"/>
        <v>91060.583333333328</v>
      </c>
      <c r="AO32" s="1">
        <f t="shared" si="99"/>
        <v>91060.583333333328</v>
      </c>
      <c r="AP32" s="1">
        <f t="shared" si="100"/>
        <v>91060.583333333328</v>
      </c>
      <c r="AQ32" s="1">
        <f t="shared" si="101"/>
        <v>91060.583333333328</v>
      </c>
      <c r="AR32" s="1">
        <f t="shared" si="102"/>
        <v>91060.583333333328</v>
      </c>
      <c r="AS32" s="1">
        <f t="shared" si="103"/>
        <v>91060.583333333328</v>
      </c>
      <c r="AT32" s="1">
        <f t="shared" si="104"/>
        <v>91060.583333333328</v>
      </c>
      <c r="AU32" s="1">
        <f t="shared" si="105"/>
        <v>91060.583333333328</v>
      </c>
      <c r="AV32" s="1">
        <f t="shared" si="106"/>
        <v>91060.583333333328</v>
      </c>
      <c r="AW32" s="1">
        <f t="shared" si="107"/>
        <v>91060.583333333328</v>
      </c>
      <c r="AX32" s="1">
        <f t="shared" si="108"/>
        <v>93792.400833333333</v>
      </c>
      <c r="AY32" s="1">
        <f t="shared" si="109"/>
        <v>93792.400833333333</v>
      </c>
      <c r="AZ32" s="1">
        <f t="shared" si="110"/>
        <v>93792.400833333333</v>
      </c>
      <c r="BA32" s="1">
        <f t="shared" si="111"/>
        <v>93792.400833333333</v>
      </c>
      <c r="BB32" s="1">
        <f t="shared" si="112"/>
        <v>93792.400833333333</v>
      </c>
      <c r="BC32" s="1">
        <f t="shared" si="113"/>
        <v>93792.400833333333</v>
      </c>
      <c r="BD32" s="1">
        <f t="shared" si="114"/>
        <v>93792.400833333333</v>
      </c>
      <c r="BE32" s="1">
        <f t="shared" si="115"/>
        <v>93792.400833333333</v>
      </c>
      <c r="BF32" s="1">
        <f t="shared" si="116"/>
        <v>93792.400833333333</v>
      </c>
      <c r="BG32" s="1">
        <f t="shared" si="117"/>
        <v>93792.400833333333</v>
      </c>
      <c r="BH32" s="1">
        <f t="shared" si="118"/>
        <v>93792.400833333333</v>
      </c>
      <c r="BI32" s="1">
        <f t="shared" si="119"/>
        <v>93792.400833333333</v>
      </c>
      <c r="BJ32" s="1">
        <f t="shared" si="120"/>
        <v>96606.172858333332</v>
      </c>
      <c r="BK32" s="1">
        <f t="shared" si="121"/>
        <v>0</v>
      </c>
      <c r="BL32" s="1">
        <f t="shared" si="122"/>
        <v>0</v>
      </c>
      <c r="BM32" s="1">
        <f t="shared" si="123"/>
        <v>0</v>
      </c>
      <c r="BN32" s="1">
        <f t="shared" si="124"/>
        <v>0</v>
      </c>
      <c r="BO32" s="1">
        <f t="shared" si="125"/>
        <v>0</v>
      </c>
      <c r="BP32" s="1">
        <f t="shared" si="126"/>
        <v>0</v>
      </c>
      <c r="BQ32" s="1">
        <f t="shared" si="127"/>
        <v>0</v>
      </c>
      <c r="BR32" s="1">
        <f t="shared" si="128"/>
        <v>0</v>
      </c>
      <c r="BS32" s="1">
        <f t="shared" si="129"/>
        <v>0</v>
      </c>
      <c r="BT32" s="1">
        <f t="shared" si="130"/>
        <v>0</v>
      </c>
      <c r="BU32" s="1">
        <f t="shared" si="131"/>
        <v>0</v>
      </c>
      <c r="BV32" s="1">
        <f t="shared" si="132"/>
        <v>0</v>
      </c>
      <c r="BW32" s="1">
        <f t="shared" si="133"/>
        <v>0</v>
      </c>
      <c r="BX32" s="1">
        <f t="shared" si="134"/>
        <v>0</v>
      </c>
      <c r="BY32" s="1">
        <f t="shared" si="135"/>
        <v>0</v>
      </c>
      <c r="BZ32" s="1">
        <f t="shared" si="136"/>
        <v>0</v>
      </c>
      <c r="CA32" s="1">
        <f t="shared" si="137"/>
        <v>0</v>
      </c>
      <c r="CB32" s="1">
        <f t="shared" si="138"/>
        <v>0</v>
      </c>
      <c r="CC32" s="1">
        <f t="shared" si="139"/>
        <v>0</v>
      </c>
      <c r="CD32" s="1">
        <f t="shared" si="140"/>
        <v>0</v>
      </c>
      <c r="CE32" s="1">
        <f t="shared" si="141"/>
        <v>0</v>
      </c>
      <c r="CF32" s="1">
        <f t="shared" si="142"/>
        <v>0</v>
      </c>
      <c r="CG32" s="1">
        <f t="shared" si="143"/>
        <v>0</v>
      </c>
      <c r="CH32" s="1">
        <f t="shared" si="144"/>
        <v>0</v>
      </c>
      <c r="CI32" s="1">
        <f t="shared" si="145"/>
        <v>0</v>
      </c>
      <c r="CJ32" s="1">
        <f t="shared" si="146"/>
        <v>0</v>
      </c>
      <c r="CK32" s="1">
        <f t="shared" si="147"/>
        <v>0</v>
      </c>
      <c r="CL32" s="1">
        <f t="shared" si="148"/>
        <v>0</v>
      </c>
      <c r="CM32" s="1">
        <f t="shared" si="149"/>
        <v>0</v>
      </c>
      <c r="CN32" s="1">
        <f t="shared" si="150"/>
        <v>0</v>
      </c>
      <c r="CO32" s="1">
        <f t="shared" si="151"/>
        <v>0</v>
      </c>
      <c r="CP32" s="1">
        <f t="shared" si="152"/>
        <v>0</v>
      </c>
      <c r="CQ32" s="1">
        <f t="shared" si="153"/>
        <v>0</v>
      </c>
      <c r="CR32" s="1">
        <f t="shared" si="154"/>
        <v>0</v>
      </c>
      <c r="CS32" s="1">
        <f t="shared" si="155"/>
        <v>0</v>
      </c>
      <c r="CT32" s="1">
        <f t="shared" si="156"/>
        <v>0</v>
      </c>
      <c r="CU32" s="1">
        <f t="shared" si="157"/>
        <v>0</v>
      </c>
      <c r="CV32" s="1">
        <f t="shared" si="158"/>
        <v>0</v>
      </c>
      <c r="CW32" s="1">
        <f t="shared" si="159"/>
        <v>0</v>
      </c>
      <c r="CX32" s="1">
        <f t="shared" si="160"/>
        <v>0</v>
      </c>
      <c r="CY32" s="1">
        <f t="shared" si="161"/>
        <v>0</v>
      </c>
      <c r="CZ32" s="1">
        <f t="shared" si="162"/>
        <v>0</v>
      </c>
      <c r="DA32" s="1">
        <f t="shared" si="163"/>
        <v>0</v>
      </c>
      <c r="DB32" s="1">
        <f t="shared" si="164"/>
        <v>0</v>
      </c>
      <c r="DC32" s="1">
        <f t="shared" si="165"/>
        <v>0</v>
      </c>
      <c r="DD32" s="1">
        <f t="shared" si="166"/>
        <v>0</v>
      </c>
      <c r="DE32" s="1">
        <f t="shared" si="167"/>
        <v>0</v>
      </c>
      <c r="DF32" s="1">
        <f t="shared" si="168"/>
        <v>0</v>
      </c>
      <c r="DG32" s="1">
        <f t="shared" si="169"/>
        <v>0</v>
      </c>
      <c r="DH32" s="1">
        <f t="shared" si="170"/>
        <v>0</v>
      </c>
      <c r="DI32" s="1">
        <f t="shared" si="171"/>
        <v>0</v>
      </c>
      <c r="DJ32" s="1">
        <f t="shared" si="172"/>
        <v>0</v>
      </c>
      <c r="DK32" s="1">
        <f t="shared" si="173"/>
        <v>0</v>
      </c>
      <c r="DL32" s="1">
        <f t="shared" si="174"/>
        <v>0</v>
      </c>
      <c r="DM32" s="1">
        <f t="shared" si="175"/>
        <v>0</v>
      </c>
      <c r="DN32" s="1">
        <f t="shared" si="176"/>
        <v>0</v>
      </c>
      <c r="DO32" s="1">
        <f t="shared" si="177"/>
        <v>0</v>
      </c>
      <c r="DP32" s="1">
        <f t="shared" si="178"/>
        <v>0</v>
      </c>
      <c r="DQ32" s="1">
        <f t="shared" si="179"/>
        <v>0</v>
      </c>
      <c r="DR32" s="1">
        <f t="shared" si="180"/>
        <v>0</v>
      </c>
      <c r="DS32" s="1">
        <f t="shared" si="181"/>
        <v>0</v>
      </c>
      <c r="DT32" s="1">
        <f t="shared" si="182"/>
        <v>0</v>
      </c>
      <c r="DU32" s="1">
        <f t="shared" si="183"/>
        <v>0</v>
      </c>
      <c r="DV32" s="1">
        <f t="shared" si="184"/>
        <v>0</v>
      </c>
    </row>
    <row r="33" spans="1:126" s="29" customFormat="1" x14ac:dyDescent="0.25">
      <c r="A33" s="26" t="s">
        <v>40</v>
      </c>
      <c r="B33" s="26"/>
      <c r="C33" s="36">
        <f>+SUMIFS(ValoresMercado,Conceptos,A33,Tipo,TipoEspecifico,Relacion,KW_EnergiaValor)/12</f>
        <v>25000</v>
      </c>
      <c r="D33" s="77"/>
      <c r="E33" s="77">
        <f t="shared" si="37"/>
        <v>56</v>
      </c>
      <c r="F33" s="118">
        <f t="shared" si="28"/>
        <v>0</v>
      </c>
      <c r="G33" s="1">
        <f t="shared" ref="G33:G35" si="185">+(IF($A33="","",IF(G$15&gt;12,IF($D33&gt;MONTH(G$16)-MONTH(InicioFuncion)+12*(YEAR(G$16)-YEAR(InicioFuncion))+1,0,IF($E33&lt;=(MONTH(G$16)-MONTH(InicioFuncion)+12*(YEAR(G$16)-YEAR(InicioFuncion)))-$D33+IF($D33&lt;&gt;"",1,0),0,IF(G$15&gt;$B$9,0,IF((YEAR($B$8)-YEAR($B$7))*12+(MONTH($B$8)-MONTH($B$7))+$E$14&lt;=F$14,$C33))))*HLOOKUP(YEAR(G$16),$E$3:$O$5,3,0),0)))</f>
        <v>0</v>
      </c>
      <c r="H33" s="1">
        <f t="shared" si="66"/>
        <v>0</v>
      </c>
      <c r="I33" s="1">
        <f t="shared" si="67"/>
        <v>0</v>
      </c>
      <c r="J33" s="1">
        <f t="shared" si="68"/>
        <v>0</v>
      </c>
      <c r="K33" s="1">
        <f t="shared" si="69"/>
        <v>0</v>
      </c>
      <c r="L33" s="1">
        <f t="shared" si="70"/>
        <v>0</v>
      </c>
      <c r="M33" s="1">
        <f t="shared" si="71"/>
        <v>0</v>
      </c>
      <c r="N33" s="1">
        <f t="shared" si="72"/>
        <v>0</v>
      </c>
      <c r="O33" s="1">
        <f t="shared" si="73"/>
        <v>0</v>
      </c>
      <c r="P33" s="1">
        <f t="shared" si="74"/>
        <v>0</v>
      </c>
      <c r="Q33" s="1">
        <f t="shared" si="75"/>
        <v>0</v>
      </c>
      <c r="R33" s="1">
        <f t="shared" si="76"/>
        <v>0</v>
      </c>
      <c r="S33" s="1">
        <f t="shared" si="77"/>
        <v>25750</v>
      </c>
      <c r="T33" s="1">
        <f t="shared" si="78"/>
        <v>25750</v>
      </c>
      <c r="U33" s="1">
        <f t="shared" si="79"/>
        <v>25750</v>
      </c>
      <c r="V33" s="1">
        <f t="shared" si="80"/>
        <v>25750</v>
      </c>
      <c r="W33" s="1">
        <f t="shared" si="81"/>
        <v>25750</v>
      </c>
      <c r="X33" s="1">
        <f t="shared" si="82"/>
        <v>25750</v>
      </c>
      <c r="Y33" s="1">
        <f t="shared" si="83"/>
        <v>25750</v>
      </c>
      <c r="Z33" s="1">
        <f t="shared" si="84"/>
        <v>26522.5</v>
      </c>
      <c r="AA33" s="1">
        <f t="shared" si="85"/>
        <v>26522.5</v>
      </c>
      <c r="AB33" s="1">
        <f t="shared" si="86"/>
        <v>26522.5</v>
      </c>
      <c r="AC33" s="1">
        <f t="shared" si="87"/>
        <v>26522.5</v>
      </c>
      <c r="AD33" s="1">
        <f t="shared" si="88"/>
        <v>26522.5</v>
      </c>
      <c r="AE33" s="1">
        <f t="shared" si="89"/>
        <v>26522.5</v>
      </c>
      <c r="AF33" s="1">
        <f t="shared" si="90"/>
        <v>26522.5</v>
      </c>
      <c r="AG33" s="1">
        <f t="shared" si="91"/>
        <v>26522.5</v>
      </c>
      <c r="AH33" s="1">
        <f t="shared" si="92"/>
        <v>26522.5</v>
      </c>
      <c r="AI33" s="1">
        <f t="shared" si="93"/>
        <v>26522.5</v>
      </c>
      <c r="AJ33" s="1">
        <f t="shared" si="94"/>
        <v>26522.5</v>
      </c>
      <c r="AK33" s="1">
        <f t="shared" si="95"/>
        <v>26522.5</v>
      </c>
      <c r="AL33" s="1">
        <f t="shared" si="96"/>
        <v>27318.174999999999</v>
      </c>
      <c r="AM33" s="1">
        <f t="shared" si="97"/>
        <v>27318.174999999999</v>
      </c>
      <c r="AN33" s="1">
        <f t="shared" si="98"/>
        <v>27318.174999999999</v>
      </c>
      <c r="AO33" s="1">
        <f t="shared" si="99"/>
        <v>27318.174999999999</v>
      </c>
      <c r="AP33" s="1">
        <f t="shared" si="100"/>
        <v>27318.174999999999</v>
      </c>
      <c r="AQ33" s="1">
        <f t="shared" si="101"/>
        <v>27318.174999999999</v>
      </c>
      <c r="AR33" s="1">
        <f t="shared" si="102"/>
        <v>27318.174999999999</v>
      </c>
      <c r="AS33" s="1">
        <f t="shared" si="103"/>
        <v>27318.174999999999</v>
      </c>
      <c r="AT33" s="1">
        <f t="shared" si="104"/>
        <v>27318.174999999999</v>
      </c>
      <c r="AU33" s="1">
        <f t="shared" si="105"/>
        <v>27318.174999999999</v>
      </c>
      <c r="AV33" s="1">
        <f t="shared" si="106"/>
        <v>27318.174999999999</v>
      </c>
      <c r="AW33" s="1">
        <f t="shared" si="107"/>
        <v>27318.174999999999</v>
      </c>
      <c r="AX33" s="1">
        <f t="shared" si="108"/>
        <v>28137.720250000002</v>
      </c>
      <c r="AY33" s="1">
        <f t="shared" si="109"/>
        <v>28137.720250000002</v>
      </c>
      <c r="AZ33" s="1">
        <f t="shared" si="110"/>
        <v>28137.720250000002</v>
      </c>
      <c r="BA33" s="1">
        <f t="shared" si="111"/>
        <v>28137.720250000002</v>
      </c>
      <c r="BB33" s="1">
        <f t="shared" si="112"/>
        <v>28137.720250000002</v>
      </c>
      <c r="BC33" s="1">
        <f t="shared" si="113"/>
        <v>28137.720250000002</v>
      </c>
      <c r="BD33" s="1">
        <f t="shared" si="114"/>
        <v>28137.720250000002</v>
      </c>
      <c r="BE33" s="1">
        <f t="shared" si="115"/>
        <v>28137.720250000002</v>
      </c>
      <c r="BF33" s="1">
        <f t="shared" si="116"/>
        <v>28137.720250000002</v>
      </c>
      <c r="BG33" s="1">
        <f t="shared" si="117"/>
        <v>28137.720250000002</v>
      </c>
      <c r="BH33" s="1">
        <f t="shared" si="118"/>
        <v>28137.720250000002</v>
      </c>
      <c r="BI33" s="1">
        <f t="shared" si="119"/>
        <v>28137.720250000002</v>
      </c>
      <c r="BJ33" s="1">
        <f t="shared" si="120"/>
        <v>28981.851857500002</v>
      </c>
      <c r="BK33" s="1">
        <f t="shared" si="121"/>
        <v>0</v>
      </c>
      <c r="BL33" s="1">
        <f t="shared" si="122"/>
        <v>0</v>
      </c>
      <c r="BM33" s="1">
        <f t="shared" si="123"/>
        <v>0</v>
      </c>
      <c r="BN33" s="1">
        <f t="shared" si="124"/>
        <v>0</v>
      </c>
      <c r="BO33" s="1">
        <f t="shared" si="125"/>
        <v>0</v>
      </c>
      <c r="BP33" s="1">
        <f t="shared" si="126"/>
        <v>0</v>
      </c>
      <c r="BQ33" s="1">
        <f t="shared" si="127"/>
        <v>0</v>
      </c>
      <c r="BR33" s="1">
        <f t="shared" si="128"/>
        <v>0</v>
      </c>
      <c r="BS33" s="1">
        <f t="shared" si="129"/>
        <v>0</v>
      </c>
      <c r="BT33" s="1">
        <f t="shared" si="130"/>
        <v>0</v>
      </c>
      <c r="BU33" s="1">
        <f t="shared" si="131"/>
        <v>0</v>
      </c>
      <c r="BV33" s="1">
        <f t="shared" si="132"/>
        <v>0</v>
      </c>
      <c r="BW33" s="1">
        <f t="shared" si="133"/>
        <v>0</v>
      </c>
      <c r="BX33" s="1">
        <f t="shared" si="134"/>
        <v>0</v>
      </c>
      <c r="BY33" s="1">
        <f t="shared" si="135"/>
        <v>0</v>
      </c>
      <c r="BZ33" s="1">
        <f t="shared" si="136"/>
        <v>0</v>
      </c>
      <c r="CA33" s="1">
        <f t="shared" si="137"/>
        <v>0</v>
      </c>
      <c r="CB33" s="1">
        <f t="shared" si="138"/>
        <v>0</v>
      </c>
      <c r="CC33" s="1">
        <f t="shared" si="139"/>
        <v>0</v>
      </c>
      <c r="CD33" s="1">
        <f t="shared" si="140"/>
        <v>0</v>
      </c>
      <c r="CE33" s="1">
        <f t="shared" si="141"/>
        <v>0</v>
      </c>
      <c r="CF33" s="1">
        <f t="shared" si="142"/>
        <v>0</v>
      </c>
      <c r="CG33" s="1">
        <f t="shared" si="143"/>
        <v>0</v>
      </c>
      <c r="CH33" s="1">
        <f t="shared" si="144"/>
        <v>0</v>
      </c>
      <c r="CI33" s="1">
        <f t="shared" si="145"/>
        <v>0</v>
      </c>
      <c r="CJ33" s="1">
        <f t="shared" si="146"/>
        <v>0</v>
      </c>
      <c r="CK33" s="1">
        <f t="shared" si="147"/>
        <v>0</v>
      </c>
      <c r="CL33" s="1">
        <f t="shared" si="148"/>
        <v>0</v>
      </c>
      <c r="CM33" s="1">
        <f t="shared" si="149"/>
        <v>0</v>
      </c>
      <c r="CN33" s="1">
        <f t="shared" si="150"/>
        <v>0</v>
      </c>
      <c r="CO33" s="1">
        <f t="shared" si="151"/>
        <v>0</v>
      </c>
      <c r="CP33" s="1">
        <f t="shared" si="152"/>
        <v>0</v>
      </c>
      <c r="CQ33" s="1">
        <f t="shared" si="153"/>
        <v>0</v>
      </c>
      <c r="CR33" s="1">
        <f t="shared" si="154"/>
        <v>0</v>
      </c>
      <c r="CS33" s="1">
        <f t="shared" si="155"/>
        <v>0</v>
      </c>
      <c r="CT33" s="1">
        <f t="shared" si="156"/>
        <v>0</v>
      </c>
      <c r="CU33" s="1">
        <f t="shared" si="157"/>
        <v>0</v>
      </c>
      <c r="CV33" s="1">
        <f t="shared" si="158"/>
        <v>0</v>
      </c>
      <c r="CW33" s="1">
        <f t="shared" si="159"/>
        <v>0</v>
      </c>
      <c r="CX33" s="1">
        <f t="shared" si="160"/>
        <v>0</v>
      </c>
      <c r="CY33" s="1">
        <f t="shared" si="161"/>
        <v>0</v>
      </c>
      <c r="CZ33" s="1">
        <f t="shared" si="162"/>
        <v>0</v>
      </c>
      <c r="DA33" s="1">
        <f t="shared" si="163"/>
        <v>0</v>
      </c>
      <c r="DB33" s="1">
        <f t="shared" si="164"/>
        <v>0</v>
      </c>
      <c r="DC33" s="1">
        <f t="shared" si="165"/>
        <v>0</v>
      </c>
      <c r="DD33" s="1">
        <f t="shared" si="166"/>
        <v>0</v>
      </c>
      <c r="DE33" s="1">
        <f t="shared" si="167"/>
        <v>0</v>
      </c>
      <c r="DF33" s="1">
        <f t="shared" si="168"/>
        <v>0</v>
      </c>
      <c r="DG33" s="1">
        <f t="shared" si="169"/>
        <v>0</v>
      </c>
      <c r="DH33" s="1">
        <f t="shared" si="170"/>
        <v>0</v>
      </c>
      <c r="DI33" s="1">
        <f t="shared" si="171"/>
        <v>0</v>
      </c>
      <c r="DJ33" s="1">
        <f t="shared" si="172"/>
        <v>0</v>
      </c>
      <c r="DK33" s="1">
        <f t="shared" si="173"/>
        <v>0</v>
      </c>
      <c r="DL33" s="1">
        <f t="shared" si="174"/>
        <v>0</v>
      </c>
      <c r="DM33" s="1">
        <f t="shared" si="175"/>
        <v>0</v>
      </c>
      <c r="DN33" s="1">
        <f t="shared" si="176"/>
        <v>0</v>
      </c>
      <c r="DO33" s="1">
        <f t="shared" si="177"/>
        <v>0</v>
      </c>
      <c r="DP33" s="1">
        <f t="shared" si="178"/>
        <v>0</v>
      </c>
      <c r="DQ33" s="1">
        <f t="shared" si="179"/>
        <v>0</v>
      </c>
      <c r="DR33" s="1">
        <f t="shared" si="180"/>
        <v>0</v>
      </c>
      <c r="DS33" s="1">
        <f t="shared" si="181"/>
        <v>0</v>
      </c>
      <c r="DT33" s="1">
        <f t="shared" si="182"/>
        <v>0</v>
      </c>
      <c r="DU33" s="1">
        <f t="shared" si="183"/>
        <v>0</v>
      </c>
      <c r="DV33" s="1">
        <f t="shared" si="184"/>
        <v>0</v>
      </c>
    </row>
    <row r="34" spans="1:126" s="29" customFormat="1" x14ac:dyDescent="0.25">
      <c r="A34" s="26" t="s">
        <v>39</v>
      </c>
      <c r="B34" s="26"/>
      <c r="C34" s="36">
        <f>+SUMIFS(ValoresMercado,Conceptos,A34,Tipo,TipoEspecifico,Relacion,KW_EnergiaValor)/12</f>
        <v>230630.16666666666</v>
      </c>
      <c r="D34" s="77"/>
      <c r="E34" s="77">
        <f t="shared" si="37"/>
        <v>56</v>
      </c>
      <c r="F34" s="118">
        <f t="shared" si="28"/>
        <v>0</v>
      </c>
      <c r="G34" s="1">
        <f t="shared" si="185"/>
        <v>0</v>
      </c>
      <c r="H34" s="1">
        <f t="shared" si="66"/>
        <v>0</v>
      </c>
      <c r="I34" s="1">
        <f t="shared" si="67"/>
        <v>0</v>
      </c>
      <c r="J34" s="1">
        <f t="shared" si="68"/>
        <v>0</v>
      </c>
      <c r="K34" s="1">
        <f t="shared" si="69"/>
        <v>0</v>
      </c>
      <c r="L34" s="1">
        <f t="shared" si="70"/>
        <v>0</v>
      </c>
      <c r="M34" s="1">
        <f t="shared" si="71"/>
        <v>0</v>
      </c>
      <c r="N34" s="1">
        <f t="shared" si="72"/>
        <v>0</v>
      </c>
      <c r="O34" s="1">
        <f t="shared" si="73"/>
        <v>0</v>
      </c>
      <c r="P34" s="1">
        <f t="shared" si="74"/>
        <v>0</v>
      </c>
      <c r="Q34" s="1">
        <f t="shared" si="75"/>
        <v>0</v>
      </c>
      <c r="R34" s="1">
        <f t="shared" si="76"/>
        <v>0</v>
      </c>
      <c r="S34" s="1">
        <f t="shared" si="77"/>
        <v>237549.07166666666</v>
      </c>
      <c r="T34" s="1">
        <f t="shared" si="78"/>
        <v>237549.07166666666</v>
      </c>
      <c r="U34" s="1">
        <f t="shared" si="79"/>
        <v>237549.07166666666</v>
      </c>
      <c r="V34" s="1">
        <f t="shared" si="80"/>
        <v>237549.07166666666</v>
      </c>
      <c r="W34" s="1">
        <f t="shared" si="81"/>
        <v>237549.07166666666</v>
      </c>
      <c r="X34" s="1">
        <f t="shared" si="82"/>
        <v>237549.07166666666</v>
      </c>
      <c r="Y34" s="1">
        <f t="shared" si="83"/>
        <v>237549.07166666666</v>
      </c>
      <c r="Z34" s="1">
        <f t="shared" si="84"/>
        <v>244675.54381666664</v>
      </c>
      <c r="AA34" s="1">
        <f t="shared" si="85"/>
        <v>244675.54381666664</v>
      </c>
      <c r="AB34" s="1">
        <f t="shared" si="86"/>
        <v>244675.54381666664</v>
      </c>
      <c r="AC34" s="1">
        <f t="shared" si="87"/>
        <v>244675.54381666664</v>
      </c>
      <c r="AD34" s="1">
        <f t="shared" si="88"/>
        <v>244675.54381666664</v>
      </c>
      <c r="AE34" s="1">
        <f t="shared" si="89"/>
        <v>244675.54381666664</v>
      </c>
      <c r="AF34" s="1">
        <f t="shared" si="90"/>
        <v>244675.54381666664</v>
      </c>
      <c r="AG34" s="1">
        <f t="shared" si="91"/>
        <v>244675.54381666664</v>
      </c>
      <c r="AH34" s="1">
        <f t="shared" si="92"/>
        <v>244675.54381666664</v>
      </c>
      <c r="AI34" s="1">
        <f t="shared" si="93"/>
        <v>244675.54381666664</v>
      </c>
      <c r="AJ34" s="1">
        <f t="shared" si="94"/>
        <v>244675.54381666664</v>
      </c>
      <c r="AK34" s="1">
        <f t="shared" si="95"/>
        <v>244675.54381666664</v>
      </c>
      <c r="AL34" s="1">
        <f t="shared" si="96"/>
        <v>252015.81013116665</v>
      </c>
      <c r="AM34" s="1">
        <f t="shared" si="97"/>
        <v>252015.81013116665</v>
      </c>
      <c r="AN34" s="1">
        <f t="shared" si="98"/>
        <v>252015.81013116665</v>
      </c>
      <c r="AO34" s="1">
        <f t="shared" si="99"/>
        <v>252015.81013116665</v>
      </c>
      <c r="AP34" s="1">
        <f t="shared" si="100"/>
        <v>252015.81013116665</v>
      </c>
      <c r="AQ34" s="1">
        <f t="shared" si="101"/>
        <v>252015.81013116665</v>
      </c>
      <c r="AR34" s="1">
        <f t="shared" si="102"/>
        <v>252015.81013116665</v>
      </c>
      <c r="AS34" s="1">
        <f t="shared" si="103"/>
        <v>252015.81013116665</v>
      </c>
      <c r="AT34" s="1">
        <f t="shared" si="104"/>
        <v>252015.81013116665</v>
      </c>
      <c r="AU34" s="1">
        <f t="shared" si="105"/>
        <v>252015.81013116665</v>
      </c>
      <c r="AV34" s="1">
        <f t="shared" si="106"/>
        <v>252015.81013116665</v>
      </c>
      <c r="AW34" s="1">
        <f t="shared" si="107"/>
        <v>252015.81013116665</v>
      </c>
      <c r="AX34" s="1">
        <f t="shared" si="108"/>
        <v>259576.2844351017</v>
      </c>
      <c r="AY34" s="1">
        <f t="shared" si="109"/>
        <v>259576.2844351017</v>
      </c>
      <c r="AZ34" s="1">
        <f t="shared" si="110"/>
        <v>259576.2844351017</v>
      </c>
      <c r="BA34" s="1">
        <f t="shared" si="111"/>
        <v>259576.2844351017</v>
      </c>
      <c r="BB34" s="1">
        <f t="shared" si="112"/>
        <v>259576.2844351017</v>
      </c>
      <c r="BC34" s="1">
        <f t="shared" si="113"/>
        <v>259576.2844351017</v>
      </c>
      <c r="BD34" s="1">
        <f t="shared" si="114"/>
        <v>259576.2844351017</v>
      </c>
      <c r="BE34" s="1">
        <f t="shared" si="115"/>
        <v>259576.2844351017</v>
      </c>
      <c r="BF34" s="1">
        <f t="shared" si="116"/>
        <v>259576.2844351017</v>
      </c>
      <c r="BG34" s="1">
        <f t="shared" si="117"/>
        <v>259576.2844351017</v>
      </c>
      <c r="BH34" s="1">
        <f t="shared" si="118"/>
        <v>259576.2844351017</v>
      </c>
      <c r="BI34" s="1">
        <f t="shared" si="119"/>
        <v>259576.2844351017</v>
      </c>
      <c r="BJ34" s="1">
        <f t="shared" si="120"/>
        <v>267363.57296815474</v>
      </c>
      <c r="BK34" s="1">
        <f t="shared" si="121"/>
        <v>0</v>
      </c>
      <c r="BL34" s="1">
        <f t="shared" si="122"/>
        <v>0</v>
      </c>
      <c r="BM34" s="1">
        <f t="shared" si="123"/>
        <v>0</v>
      </c>
      <c r="BN34" s="1">
        <f t="shared" si="124"/>
        <v>0</v>
      </c>
      <c r="BO34" s="1">
        <f t="shared" si="125"/>
        <v>0</v>
      </c>
      <c r="BP34" s="1">
        <f t="shared" si="126"/>
        <v>0</v>
      </c>
      <c r="BQ34" s="1">
        <f t="shared" si="127"/>
        <v>0</v>
      </c>
      <c r="BR34" s="1">
        <f t="shared" si="128"/>
        <v>0</v>
      </c>
      <c r="BS34" s="1">
        <f t="shared" si="129"/>
        <v>0</v>
      </c>
      <c r="BT34" s="1">
        <f t="shared" si="130"/>
        <v>0</v>
      </c>
      <c r="BU34" s="1">
        <f t="shared" si="131"/>
        <v>0</v>
      </c>
      <c r="BV34" s="1">
        <f t="shared" si="132"/>
        <v>0</v>
      </c>
      <c r="BW34" s="1">
        <f t="shared" si="133"/>
        <v>0</v>
      </c>
      <c r="BX34" s="1">
        <f t="shared" si="134"/>
        <v>0</v>
      </c>
      <c r="BY34" s="1">
        <f t="shared" si="135"/>
        <v>0</v>
      </c>
      <c r="BZ34" s="1">
        <f t="shared" si="136"/>
        <v>0</v>
      </c>
      <c r="CA34" s="1">
        <f t="shared" si="137"/>
        <v>0</v>
      </c>
      <c r="CB34" s="1">
        <f t="shared" si="138"/>
        <v>0</v>
      </c>
      <c r="CC34" s="1">
        <f t="shared" si="139"/>
        <v>0</v>
      </c>
      <c r="CD34" s="1">
        <f t="shared" si="140"/>
        <v>0</v>
      </c>
      <c r="CE34" s="1">
        <f t="shared" si="141"/>
        <v>0</v>
      </c>
      <c r="CF34" s="1">
        <f t="shared" si="142"/>
        <v>0</v>
      </c>
      <c r="CG34" s="1">
        <f t="shared" si="143"/>
        <v>0</v>
      </c>
      <c r="CH34" s="1">
        <f t="shared" si="144"/>
        <v>0</v>
      </c>
      <c r="CI34" s="1">
        <f t="shared" si="145"/>
        <v>0</v>
      </c>
      <c r="CJ34" s="1">
        <f t="shared" si="146"/>
        <v>0</v>
      </c>
      <c r="CK34" s="1">
        <f t="shared" si="147"/>
        <v>0</v>
      </c>
      <c r="CL34" s="1">
        <f t="shared" si="148"/>
        <v>0</v>
      </c>
      <c r="CM34" s="1">
        <f t="shared" si="149"/>
        <v>0</v>
      </c>
      <c r="CN34" s="1">
        <f t="shared" si="150"/>
        <v>0</v>
      </c>
      <c r="CO34" s="1">
        <f t="shared" si="151"/>
        <v>0</v>
      </c>
      <c r="CP34" s="1">
        <f t="shared" si="152"/>
        <v>0</v>
      </c>
      <c r="CQ34" s="1">
        <f t="shared" si="153"/>
        <v>0</v>
      </c>
      <c r="CR34" s="1">
        <f t="shared" si="154"/>
        <v>0</v>
      </c>
      <c r="CS34" s="1">
        <f t="shared" si="155"/>
        <v>0</v>
      </c>
      <c r="CT34" s="1">
        <f t="shared" si="156"/>
        <v>0</v>
      </c>
      <c r="CU34" s="1">
        <f t="shared" si="157"/>
        <v>0</v>
      </c>
      <c r="CV34" s="1">
        <f t="shared" si="158"/>
        <v>0</v>
      </c>
      <c r="CW34" s="1">
        <f t="shared" si="159"/>
        <v>0</v>
      </c>
      <c r="CX34" s="1">
        <f t="shared" si="160"/>
        <v>0</v>
      </c>
      <c r="CY34" s="1">
        <f t="shared" si="161"/>
        <v>0</v>
      </c>
      <c r="CZ34" s="1">
        <f t="shared" si="162"/>
        <v>0</v>
      </c>
      <c r="DA34" s="1">
        <f t="shared" si="163"/>
        <v>0</v>
      </c>
      <c r="DB34" s="1">
        <f t="shared" si="164"/>
        <v>0</v>
      </c>
      <c r="DC34" s="1">
        <f t="shared" si="165"/>
        <v>0</v>
      </c>
      <c r="DD34" s="1">
        <f t="shared" si="166"/>
        <v>0</v>
      </c>
      <c r="DE34" s="1">
        <f t="shared" si="167"/>
        <v>0</v>
      </c>
      <c r="DF34" s="1">
        <f t="shared" si="168"/>
        <v>0</v>
      </c>
      <c r="DG34" s="1">
        <f t="shared" si="169"/>
        <v>0</v>
      </c>
      <c r="DH34" s="1">
        <f t="shared" si="170"/>
        <v>0</v>
      </c>
      <c r="DI34" s="1">
        <f t="shared" si="171"/>
        <v>0</v>
      </c>
      <c r="DJ34" s="1">
        <f t="shared" si="172"/>
        <v>0</v>
      </c>
      <c r="DK34" s="1">
        <f t="shared" si="173"/>
        <v>0</v>
      </c>
      <c r="DL34" s="1">
        <f t="shared" si="174"/>
        <v>0</v>
      </c>
      <c r="DM34" s="1">
        <f t="shared" si="175"/>
        <v>0</v>
      </c>
      <c r="DN34" s="1">
        <f t="shared" si="176"/>
        <v>0</v>
      </c>
      <c r="DO34" s="1">
        <f t="shared" si="177"/>
        <v>0</v>
      </c>
      <c r="DP34" s="1">
        <f t="shared" si="178"/>
        <v>0</v>
      </c>
      <c r="DQ34" s="1">
        <f t="shared" si="179"/>
        <v>0</v>
      </c>
      <c r="DR34" s="1">
        <f t="shared" si="180"/>
        <v>0</v>
      </c>
      <c r="DS34" s="1">
        <f t="shared" si="181"/>
        <v>0</v>
      </c>
      <c r="DT34" s="1">
        <f t="shared" si="182"/>
        <v>0</v>
      </c>
      <c r="DU34" s="1">
        <f t="shared" si="183"/>
        <v>0</v>
      </c>
      <c r="DV34" s="1">
        <f t="shared" si="184"/>
        <v>0</v>
      </c>
    </row>
    <row r="35" spans="1:126" x14ac:dyDescent="0.25">
      <c r="A35" s="26" t="s">
        <v>44</v>
      </c>
      <c r="B35" s="26"/>
      <c r="C35" s="36">
        <f>+SUMIFS(ValoresMercado,Conceptos,A35)/12</f>
        <v>806980.10166666668</v>
      </c>
      <c r="D35" s="35"/>
      <c r="E35" s="35">
        <f t="shared" si="37"/>
        <v>56</v>
      </c>
      <c r="F35" s="1">
        <f t="shared" si="28"/>
        <v>0</v>
      </c>
      <c r="G35" s="1">
        <f t="shared" si="185"/>
        <v>0</v>
      </c>
      <c r="H35" s="1">
        <f t="shared" si="66"/>
        <v>0</v>
      </c>
      <c r="I35" s="1">
        <f t="shared" si="67"/>
        <v>0</v>
      </c>
      <c r="J35" s="1">
        <f t="shared" si="68"/>
        <v>0</v>
      </c>
      <c r="K35" s="1">
        <f t="shared" si="69"/>
        <v>0</v>
      </c>
      <c r="L35" s="1">
        <f t="shared" si="70"/>
        <v>0</v>
      </c>
      <c r="M35" s="1">
        <f t="shared" si="71"/>
        <v>0</v>
      </c>
      <c r="N35" s="1">
        <f t="shared" si="72"/>
        <v>0</v>
      </c>
      <c r="O35" s="1">
        <f t="shared" si="73"/>
        <v>0</v>
      </c>
      <c r="P35" s="1">
        <f t="shared" si="74"/>
        <v>0</v>
      </c>
      <c r="Q35" s="1">
        <f t="shared" si="75"/>
        <v>0</v>
      </c>
      <c r="R35" s="1">
        <f t="shared" si="76"/>
        <v>0</v>
      </c>
      <c r="S35" s="1">
        <f t="shared" si="77"/>
        <v>831189.50471666665</v>
      </c>
      <c r="T35" s="1">
        <f t="shared" si="78"/>
        <v>831189.50471666665</v>
      </c>
      <c r="U35" s="1">
        <f t="shared" si="79"/>
        <v>831189.50471666665</v>
      </c>
      <c r="V35" s="1">
        <f t="shared" si="80"/>
        <v>831189.50471666665</v>
      </c>
      <c r="W35" s="1">
        <f t="shared" si="81"/>
        <v>831189.50471666665</v>
      </c>
      <c r="X35" s="1">
        <f t="shared" si="82"/>
        <v>831189.50471666665</v>
      </c>
      <c r="Y35" s="1">
        <f t="shared" si="83"/>
        <v>831189.50471666665</v>
      </c>
      <c r="Z35" s="1">
        <f t="shared" si="84"/>
        <v>856125.18985816662</v>
      </c>
      <c r="AA35" s="1">
        <f t="shared" si="85"/>
        <v>856125.18985816662</v>
      </c>
      <c r="AB35" s="1">
        <f t="shared" si="86"/>
        <v>856125.18985816662</v>
      </c>
      <c r="AC35" s="1">
        <f t="shared" si="87"/>
        <v>856125.18985816662</v>
      </c>
      <c r="AD35" s="1">
        <f t="shared" si="88"/>
        <v>856125.18985816662</v>
      </c>
      <c r="AE35" s="1">
        <f t="shared" si="89"/>
        <v>856125.18985816662</v>
      </c>
      <c r="AF35" s="1">
        <f t="shared" si="90"/>
        <v>856125.18985816662</v>
      </c>
      <c r="AG35" s="1">
        <f t="shared" si="91"/>
        <v>856125.18985816662</v>
      </c>
      <c r="AH35" s="1">
        <f t="shared" si="92"/>
        <v>856125.18985816662</v>
      </c>
      <c r="AI35" s="1">
        <f t="shared" si="93"/>
        <v>856125.18985816662</v>
      </c>
      <c r="AJ35" s="1">
        <f t="shared" si="94"/>
        <v>856125.18985816662</v>
      </c>
      <c r="AK35" s="1">
        <f t="shared" si="95"/>
        <v>856125.18985816662</v>
      </c>
      <c r="AL35" s="1">
        <f t="shared" si="96"/>
        <v>881808.94555391173</v>
      </c>
      <c r="AM35" s="1">
        <f t="shared" si="97"/>
        <v>881808.94555391173</v>
      </c>
      <c r="AN35" s="1">
        <f t="shared" si="98"/>
        <v>881808.94555391173</v>
      </c>
      <c r="AO35" s="1">
        <f t="shared" si="99"/>
        <v>881808.94555391173</v>
      </c>
      <c r="AP35" s="1">
        <f t="shared" si="100"/>
        <v>881808.94555391173</v>
      </c>
      <c r="AQ35" s="1">
        <f t="shared" si="101"/>
        <v>881808.94555391173</v>
      </c>
      <c r="AR35" s="1">
        <f t="shared" si="102"/>
        <v>881808.94555391173</v>
      </c>
      <c r="AS35" s="1">
        <f t="shared" si="103"/>
        <v>881808.94555391173</v>
      </c>
      <c r="AT35" s="1">
        <f t="shared" si="104"/>
        <v>881808.94555391173</v>
      </c>
      <c r="AU35" s="1">
        <f t="shared" si="105"/>
        <v>881808.94555391173</v>
      </c>
      <c r="AV35" s="1">
        <f t="shared" si="106"/>
        <v>881808.94555391173</v>
      </c>
      <c r="AW35" s="1">
        <f t="shared" si="107"/>
        <v>881808.94555391173</v>
      </c>
      <c r="AX35" s="1">
        <f t="shared" si="108"/>
        <v>908263.21392052912</v>
      </c>
      <c r="AY35" s="1">
        <f t="shared" si="109"/>
        <v>908263.21392052912</v>
      </c>
      <c r="AZ35" s="1">
        <f t="shared" si="110"/>
        <v>908263.21392052912</v>
      </c>
      <c r="BA35" s="1">
        <f t="shared" si="111"/>
        <v>908263.21392052912</v>
      </c>
      <c r="BB35" s="1">
        <f t="shared" si="112"/>
        <v>908263.21392052912</v>
      </c>
      <c r="BC35" s="1">
        <f t="shared" si="113"/>
        <v>908263.21392052912</v>
      </c>
      <c r="BD35" s="1">
        <f t="shared" si="114"/>
        <v>908263.21392052912</v>
      </c>
      <c r="BE35" s="1">
        <f t="shared" si="115"/>
        <v>908263.21392052912</v>
      </c>
      <c r="BF35" s="1">
        <f t="shared" si="116"/>
        <v>908263.21392052912</v>
      </c>
      <c r="BG35" s="1">
        <f t="shared" si="117"/>
        <v>908263.21392052912</v>
      </c>
      <c r="BH35" s="1">
        <f t="shared" si="118"/>
        <v>908263.21392052912</v>
      </c>
      <c r="BI35" s="1">
        <f t="shared" si="119"/>
        <v>908263.21392052912</v>
      </c>
      <c r="BJ35" s="1">
        <f t="shared" si="120"/>
        <v>935511.11033814494</v>
      </c>
      <c r="BK35" s="1">
        <f t="shared" si="121"/>
        <v>0</v>
      </c>
      <c r="BL35" s="1">
        <f t="shared" si="122"/>
        <v>0</v>
      </c>
      <c r="BM35" s="1">
        <f t="shared" si="123"/>
        <v>0</v>
      </c>
      <c r="BN35" s="1">
        <f t="shared" si="124"/>
        <v>0</v>
      </c>
      <c r="BO35" s="1">
        <f t="shared" si="125"/>
        <v>0</v>
      </c>
      <c r="BP35" s="1">
        <f t="shared" si="126"/>
        <v>0</v>
      </c>
      <c r="BQ35" s="1">
        <f t="shared" si="127"/>
        <v>0</v>
      </c>
      <c r="BR35" s="1">
        <f t="shared" si="128"/>
        <v>0</v>
      </c>
      <c r="BS35" s="1">
        <f t="shared" si="129"/>
        <v>0</v>
      </c>
      <c r="BT35" s="1">
        <f t="shared" si="130"/>
        <v>0</v>
      </c>
      <c r="BU35" s="1">
        <f t="shared" si="131"/>
        <v>0</v>
      </c>
      <c r="BV35" s="1">
        <f t="shared" si="132"/>
        <v>0</v>
      </c>
      <c r="BW35" s="1">
        <f t="shared" si="133"/>
        <v>0</v>
      </c>
      <c r="BX35" s="1">
        <f t="shared" si="134"/>
        <v>0</v>
      </c>
      <c r="BY35" s="1">
        <f t="shared" si="135"/>
        <v>0</v>
      </c>
      <c r="BZ35" s="1">
        <f t="shared" si="136"/>
        <v>0</v>
      </c>
      <c r="CA35" s="1">
        <f t="shared" si="137"/>
        <v>0</v>
      </c>
      <c r="CB35" s="1">
        <f t="shared" si="138"/>
        <v>0</v>
      </c>
      <c r="CC35" s="1">
        <f t="shared" si="139"/>
        <v>0</v>
      </c>
      <c r="CD35" s="1">
        <f t="shared" si="140"/>
        <v>0</v>
      </c>
      <c r="CE35" s="1">
        <f t="shared" si="141"/>
        <v>0</v>
      </c>
      <c r="CF35" s="1">
        <f t="shared" si="142"/>
        <v>0</v>
      </c>
      <c r="CG35" s="1">
        <f t="shared" si="143"/>
        <v>0</v>
      </c>
      <c r="CH35" s="1">
        <f t="shared" si="144"/>
        <v>0</v>
      </c>
      <c r="CI35" s="1">
        <f t="shared" si="145"/>
        <v>0</v>
      </c>
      <c r="CJ35" s="1">
        <f t="shared" si="146"/>
        <v>0</v>
      </c>
      <c r="CK35" s="1">
        <f t="shared" si="147"/>
        <v>0</v>
      </c>
      <c r="CL35" s="1">
        <f t="shared" si="148"/>
        <v>0</v>
      </c>
      <c r="CM35" s="1">
        <f t="shared" si="149"/>
        <v>0</v>
      </c>
      <c r="CN35" s="1">
        <f t="shared" si="150"/>
        <v>0</v>
      </c>
      <c r="CO35" s="1">
        <f t="shared" si="151"/>
        <v>0</v>
      </c>
      <c r="CP35" s="1">
        <f t="shared" si="152"/>
        <v>0</v>
      </c>
      <c r="CQ35" s="1">
        <f t="shared" si="153"/>
        <v>0</v>
      </c>
      <c r="CR35" s="1">
        <f t="shared" si="154"/>
        <v>0</v>
      </c>
      <c r="CS35" s="1">
        <f t="shared" si="155"/>
        <v>0</v>
      </c>
      <c r="CT35" s="1">
        <f t="shared" si="156"/>
        <v>0</v>
      </c>
      <c r="CU35" s="1">
        <f t="shared" si="157"/>
        <v>0</v>
      </c>
      <c r="CV35" s="1">
        <f t="shared" si="158"/>
        <v>0</v>
      </c>
      <c r="CW35" s="1">
        <f t="shared" si="159"/>
        <v>0</v>
      </c>
      <c r="CX35" s="1">
        <f t="shared" si="160"/>
        <v>0</v>
      </c>
      <c r="CY35" s="1">
        <f t="shared" si="161"/>
        <v>0</v>
      </c>
      <c r="CZ35" s="1">
        <f t="shared" si="162"/>
        <v>0</v>
      </c>
      <c r="DA35" s="1">
        <f t="shared" si="163"/>
        <v>0</v>
      </c>
      <c r="DB35" s="1">
        <f t="shared" si="164"/>
        <v>0</v>
      </c>
      <c r="DC35" s="1">
        <f t="shared" si="165"/>
        <v>0</v>
      </c>
      <c r="DD35" s="1">
        <f t="shared" si="166"/>
        <v>0</v>
      </c>
      <c r="DE35" s="1">
        <f t="shared" si="167"/>
        <v>0</v>
      </c>
      <c r="DF35" s="1">
        <f t="shared" si="168"/>
        <v>0</v>
      </c>
      <c r="DG35" s="1">
        <f t="shared" si="169"/>
        <v>0</v>
      </c>
      <c r="DH35" s="1">
        <f t="shared" si="170"/>
        <v>0</v>
      </c>
      <c r="DI35" s="1">
        <f t="shared" si="171"/>
        <v>0</v>
      </c>
      <c r="DJ35" s="1">
        <f t="shared" si="172"/>
        <v>0</v>
      </c>
      <c r="DK35" s="1">
        <f t="shared" si="173"/>
        <v>0</v>
      </c>
      <c r="DL35" s="1">
        <f t="shared" si="174"/>
        <v>0</v>
      </c>
      <c r="DM35" s="1">
        <f t="shared" si="175"/>
        <v>0</v>
      </c>
      <c r="DN35" s="1">
        <f t="shared" si="176"/>
        <v>0</v>
      </c>
      <c r="DO35" s="1">
        <f t="shared" si="177"/>
        <v>0</v>
      </c>
      <c r="DP35" s="1">
        <f t="shared" si="178"/>
        <v>0</v>
      </c>
      <c r="DQ35" s="1">
        <f t="shared" si="179"/>
        <v>0</v>
      </c>
      <c r="DR35" s="1">
        <f t="shared" si="180"/>
        <v>0</v>
      </c>
      <c r="DS35" s="1">
        <f t="shared" si="181"/>
        <v>0</v>
      </c>
      <c r="DT35" s="1">
        <f t="shared" si="182"/>
        <v>0</v>
      </c>
      <c r="DU35" s="1">
        <f t="shared" si="183"/>
        <v>0</v>
      </c>
      <c r="DV35" s="1">
        <f t="shared" si="184"/>
        <v>0</v>
      </c>
    </row>
    <row r="36" spans="1:126" x14ac:dyDescent="0.25">
      <c r="A36" s="26" t="s">
        <v>14</v>
      </c>
      <c r="B36" s="36">
        <f>+SUMIFS(ValoresMercado,Conceptos,A36,Tipo,TipoEspecifico,Relacion,PlantaElectrica)</f>
        <v>66997840</v>
      </c>
      <c r="C36" s="26"/>
      <c r="D36" s="35"/>
      <c r="E36" s="35">
        <f t="shared" si="37"/>
        <v>56</v>
      </c>
      <c r="F36" s="1">
        <f t="shared" ref="F36:BQ40" si="186">+IF($A36="","",IF($D36=F$15,$B36+IF(MONTH($B$8)-MONTH($B$7)+$E$14=E$14,$C36,0),0))</f>
        <v>66997840</v>
      </c>
      <c r="G36" s="1">
        <f t="shared" si="186"/>
        <v>0</v>
      </c>
      <c r="H36" s="1">
        <f t="shared" si="186"/>
        <v>0</v>
      </c>
      <c r="I36" s="1">
        <f t="shared" si="186"/>
        <v>0</v>
      </c>
      <c r="J36" s="1">
        <f t="shared" si="186"/>
        <v>0</v>
      </c>
      <c r="K36" s="1">
        <f t="shared" si="186"/>
        <v>0</v>
      </c>
      <c r="L36" s="1">
        <f t="shared" si="186"/>
        <v>0</v>
      </c>
      <c r="M36" s="1">
        <f t="shared" si="186"/>
        <v>0</v>
      </c>
      <c r="N36" s="1">
        <f t="shared" si="186"/>
        <v>0</v>
      </c>
      <c r="O36" s="1">
        <f t="shared" si="186"/>
        <v>0</v>
      </c>
      <c r="P36" s="1">
        <f t="shared" si="186"/>
        <v>0</v>
      </c>
      <c r="Q36" s="1">
        <f t="shared" si="186"/>
        <v>0</v>
      </c>
      <c r="R36" s="1">
        <f t="shared" si="186"/>
        <v>0</v>
      </c>
      <c r="S36" s="1">
        <f t="shared" si="186"/>
        <v>0</v>
      </c>
      <c r="T36" s="1">
        <f t="shared" si="186"/>
        <v>0</v>
      </c>
      <c r="U36" s="1">
        <f t="shared" si="186"/>
        <v>0</v>
      </c>
      <c r="V36" s="1">
        <f t="shared" si="186"/>
        <v>0</v>
      </c>
      <c r="W36" s="1">
        <f t="shared" si="186"/>
        <v>0</v>
      </c>
      <c r="X36" s="1">
        <f t="shared" si="186"/>
        <v>0</v>
      </c>
      <c r="Y36" s="1">
        <f t="shared" si="186"/>
        <v>0</v>
      </c>
      <c r="Z36" s="1">
        <f t="shared" si="186"/>
        <v>0</v>
      </c>
      <c r="AA36" s="1">
        <f t="shared" si="186"/>
        <v>0</v>
      </c>
      <c r="AB36" s="1">
        <f t="shared" si="186"/>
        <v>0</v>
      </c>
      <c r="AC36" s="1">
        <f t="shared" si="186"/>
        <v>0</v>
      </c>
      <c r="AD36" s="1">
        <f t="shared" si="186"/>
        <v>0</v>
      </c>
      <c r="AE36" s="1">
        <f t="shared" si="186"/>
        <v>0</v>
      </c>
      <c r="AF36" s="1">
        <f t="shared" si="186"/>
        <v>0</v>
      </c>
      <c r="AG36" s="1">
        <f t="shared" si="186"/>
        <v>0</v>
      </c>
      <c r="AH36" s="1">
        <f t="shared" si="186"/>
        <v>0</v>
      </c>
      <c r="AI36" s="1">
        <f t="shared" si="186"/>
        <v>0</v>
      </c>
      <c r="AJ36" s="1">
        <f t="shared" si="186"/>
        <v>0</v>
      </c>
      <c r="AK36" s="1">
        <f t="shared" si="186"/>
        <v>0</v>
      </c>
      <c r="AL36" s="1">
        <f t="shared" si="186"/>
        <v>0</v>
      </c>
      <c r="AM36" s="1">
        <f t="shared" si="186"/>
        <v>0</v>
      </c>
      <c r="AN36" s="1">
        <f t="shared" si="186"/>
        <v>0</v>
      </c>
      <c r="AO36" s="1">
        <f t="shared" si="186"/>
        <v>0</v>
      </c>
      <c r="AP36" s="1">
        <f t="shared" si="186"/>
        <v>0</v>
      </c>
      <c r="AQ36" s="1">
        <f t="shared" si="186"/>
        <v>0</v>
      </c>
      <c r="AR36" s="1">
        <f t="shared" si="186"/>
        <v>0</v>
      </c>
      <c r="AS36" s="1">
        <f t="shared" si="186"/>
        <v>0</v>
      </c>
      <c r="AT36" s="1">
        <f t="shared" si="186"/>
        <v>0</v>
      </c>
      <c r="AU36" s="1">
        <f t="shared" si="186"/>
        <v>0</v>
      </c>
      <c r="AV36" s="1">
        <f t="shared" si="186"/>
        <v>0</v>
      </c>
      <c r="AW36" s="1">
        <f t="shared" si="186"/>
        <v>0</v>
      </c>
      <c r="AX36" s="1">
        <f t="shared" si="186"/>
        <v>0</v>
      </c>
      <c r="AY36" s="1">
        <f t="shared" si="186"/>
        <v>0</v>
      </c>
      <c r="AZ36" s="1">
        <f t="shared" si="186"/>
        <v>0</v>
      </c>
      <c r="BA36" s="1">
        <f t="shared" si="186"/>
        <v>0</v>
      </c>
      <c r="BB36" s="1">
        <f t="shared" si="186"/>
        <v>0</v>
      </c>
      <c r="BC36" s="1">
        <f t="shared" si="186"/>
        <v>0</v>
      </c>
      <c r="BD36" s="1">
        <f t="shared" si="186"/>
        <v>0</v>
      </c>
      <c r="BE36" s="1">
        <f t="shared" si="186"/>
        <v>0</v>
      </c>
      <c r="BF36" s="1">
        <f t="shared" si="186"/>
        <v>0</v>
      </c>
      <c r="BG36" s="1">
        <f t="shared" si="186"/>
        <v>0</v>
      </c>
      <c r="BH36" s="1">
        <f t="shared" si="186"/>
        <v>0</v>
      </c>
      <c r="BI36" s="1">
        <f t="shared" si="186"/>
        <v>0</v>
      </c>
      <c r="BJ36" s="1">
        <f t="shared" si="186"/>
        <v>0</v>
      </c>
      <c r="BK36" s="1">
        <f t="shared" si="186"/>
        <v>0</v>
      </c>
      <c r="BL36" s="1">
        <f t="shared" si="186"/>
        <v>0</v>
      </c>
      <c r="BM36" s="1">
        <f t="shared" si="186"/>
        <v>0</v>
      </c>
      <c r="BN36" s="1">
        <f t="shared" si="186"/>
        <v>0</v>
      </c>
      <c r="BO36" s="1">
        <f t="shared" si="186"/>
        <v>0</v>
      </c>
      <c r="BP36" s="1">
        <f t="shared" si="186"/>
        <v>0</v>
      </c>
      <c r="BQ36" s="1">
        <f t="shared" si="186"/>
        <v>0</v>
      </c>
      <c r="BR36" s="1">
        <f t="shared" ref="BR36:DV40" si="187">+IF($A36="","",IF($D36=BR$15,$B36+IF(MONTH($B$8)-MONTH($B$7)+$E$14=BQ$14,$C36,0),0))</f>
        <v>0</v>
      </c>
      <c r="BS36" s="1">
        <f t="shared" si="187"/>
        <v>0</v>
      </c>
      <c r="BT36" s="1">
        <f t="shared" si="187"/>
        <v>0</v>
      </c>
      <c r="BU36" s="1">
        <f t="shared" si="187"/>
        <v>0</v>
      </c>
      <c r="BV36" s="1">
        <f t="shared" si="187"/>
        <v>0</v>
      </c>
      <c r="BW36" s="1">
        <f t="shared" si="187"/>
        <v>0</v>
      </c>
      <c r="BX36" s="1">
        <f t="shared" si="187"/>
        <v>0</v>
      </c>
      <c r="BY36" s="1">
        <f t="shared" si="187"/>
        <v>0</v>
      </c>
      <c r="BZ36" s="1">
        <f t="shared" si="187"/>
        <v>0</v>
      </c>
      <c r="CA36" s="1">
        <f t="shared" si="187"/>
        <v>0</v>
      </c>
      <c r="CB36" s="1">
        <f t="shared" si="187"/>
        <v>0</v>
      </c>
      <c r="CC36" s="1">
        <f t="shared" si="187"/>
        <v>0</v>
      </c>
      <c r="CD36" s="1">
        <f t="shared" si="187"/>
        <v>0</v>
      </c>
      <c r="CE36" s="1">
        <f t="shared" si="187"/>
        <v>0</v>
      </c>
      <c r="CF36" s="1">
        <f t="shared" si="187"/>
        <v>0</v>
      </c>
      <c r="CG36" s="1">
        <f t="shared" si="187"/>
        <v>0</v>
      </c>
      <c r="CH36" s="1">
        <f t="shared" si="187"/>
        <v>0</v>
      </c>
      <c r="CI36" s="1">
        <f t="shared" si="187"/>
        <v>0</v>
      </c>
      <c r="CJ36" s="1">
        <f t="shared" si="187"/>
        <v>0</v>
      </c>
      <c r="CK36" s="1">
        <f t="shared" si="187"/>
        <v>0</v>
      </c>
      <c r="CL36" s="1">
        <f t="shared" si="187"/>
        <v>0</v>
      </c>
      <c r="CM36" s="1">
        <f t="shared" si="187"/>
        <v>0</v>
      </c>
      <c r="CN36" s="1">
        <f t="shared" si="187"/>
        <v>0</v>
      </c>
      <c r="CO36" s="1">
        <f t="shared" si="187"/>
        <v>0</v>
      </c>
      <c r="CP36" s="1">
        <f t="shared" si="187"/>
        <v>0</v>
      </c>
      <c r="CQ36" s="1">
        <f t="shared" si="187"/>
        <v>0</v>
      </c>
      <c r="CR36" s="1">
        <f t="shared" si="187"/>
        <v>0</v>
      </c>
      <c r="CS36" s="1">
        <f t="shared" si="187"/>
        <v>0</v>
      </c>
      <c r="CT36" s="1">
        <f t="shared" si="187"/>
        <v>0</v>
      </c>
      <c r="CU36" s="1">
        <f t="shared" si="187"/>
        <v>0</v>
      </c>
      <c r="CV36" s="1">
        <f t="shared" si="187"/>
        <v>0</v>
      </c>
      <c r="CW36" s="1">
        <f t="shared" si="187"/>
        <v>0</v>
      </c>
      <c r="CX36" s="1">
        <f t="shared" si="187"/>
        <v>0</v>
      </c>
      <c r="CY36" s="1">
        <f t="shared" si="187"/>
        <v>0</v>
      </c>
      <c r="CZ36" s="1">
        <f t="shared" si="187"/>
        <v>0</v>
      </c>
      <c r="DA36" s="1">
        <f t="shared" si="187"/>
        <v>0</v>
      </c>
      <c r="DB36" s="1">
        <f t="shared" si="187"/>
        <v>0</v>
      </c>
      <c r="DC36" s="1">
        <f t="shared" si="187"/>
        <v>0</v>
      </c>
      <c r="DD36" s="1">
        <f t="shared" si="187"/>
        <v>0</v>
      </c>
      <c r="DE36" s="1">
        <f t="shared" si="187"/>
        <v>0</v>
      </c>
      <c r="DF36" s="1">
        <f t="shared" si="187"/>
        <v>0</v>
      </c>
      <c r="DG36" s="1">
        <f t="shared" si="187"/>
        <v>0</v>
      </c>
      <c r="DH36" s="1">
        <f t="shared" si="187"/>
        <v>0</v>
      </c>
      <c r="DI36" s="1">
        <f t="shared" si="187"/>
        <v>0</v>
      </c>
      <c r="DJ36" s="1">
        <f t="shared" si="187"/>
        <v>0</v>
      </c>
      <c r="DK36" s="1">
        <f t="shared" si="187"/>
        <v>0</v>
      </c>
      <c r="DL36" s="1">
        <f t="shared" si="187"/>
        <v>0</v>
      </c>
      <c r="DM36" s="1">
        <f t="shared" si="187"/>
        <v>0</v>
      </c>
      <c r="DN36" s="1">
        <f t="shared" si="187"/>
        <v>0</v>
      </c>
      <c r="DO36" s="1">
        <f t="shared" si="187"/>
        <v>0</v>
      </c>
      <c r="DP36" s="1">
        <f t="shared" si="187"/>
        <v>0</v>
      </c>
      <c r="DQ36" s="1">
        <f t="shared" si="187"/>
        <v>0</v>
      </c>
      <c r="DR36" s="1">
        <f t="shared" si="187"/>
        <v>0</v>
      </c>
      <c r="DS36" s="1">
        <f t="shared" si="187"/>
        <v>0</v>
      </c>
      <c r="DT36" s="1">
        <f t="shared" si="187"/>
        <v>0</v>
      </c>
      <c r="DU36" s="1">
        <f t="shared" si="187"/>
        <v>0</v>
      </c>
      <c r="DV36" s="1">
        <f t="shared" si="187"/>
        <v>0</v>
      </c>
    </row>
    <row r="37" spans="1:126" x14ac:dyDescent="0.25">
      <c r="A37" s="26" t="s">
        <v>33</v>
      </c>
      <c r="B37" s="36">
        <f>+SUMIFS(ValoresMercado,Conceptos,A37,Relacion,TmcBw,RangoSectorEnodeb,SectorEnodeb)</f>
        <v>26695200</v>
      </c>
      <c r="C37" s="26"/>
      <c r="D37" s="35"/>
      <c r="E37" s="35">
        <f t="shared" si="37"/>
        <v>56</v>
      </c>
      <c r="F37" s="1">
        <f t="shared" ref="F37:F40" si="188">+IF($A37="","",IF($D37=F$15,$B37+IF(MONTH($B$8)-MONTH($B$7)+$E$14=E$14,$C37,0),0))</f>
        <v>26695200</v>
      </c>
      <c r="G37" s="1">
        <f t="shared" si="186"/>
        <v>0</v>
      </c>
      <c r="H37" s="1">
        <f t="shared" si="186"/>
        <v>0</v>
      </c>
      <c r="I37" s="1">
        <f t="shared" si="186"/>
        <v>0</v>
      </c>
      <c r="J37" s="1">
        <f t="shared" si="186"/>
        <v>0</v>
      </c>
      <c r="K37" s="1">
        <f t="shared" si="186"/>
        <v>0</v>
      </c>
      <c r="L37" s="1">
        <f t="shared" si="186"/>
        <v>0</v>
      </c>
      <c r="M37" s="1">
        <f t="shared" si="186"/>
        <v>0</v>
      </c>
      <c r="N37" s="1">
        <f t="shared" si="186"/>
        <v>0</v>
      </c>
      <c r="O37" s="1">
        <f t="shared" si="186"/>
        <v>0</v>
      </c>
      <c r="P37" s="1">
        <f t="shared" si="186"/>
        <v>0</v>
      </c>
      <c r="Q37" s="1">
        <f t="shared" si="186"/>
        <v>0</v>
      </c>
      <c r="R37" s="1">
        <f t="shared" si="186"/>
        <v>0</v>
      </c>
      <c r="S37" s="1">
        <f t="shared" si="186"/>
        <v>0</v>
      </c>
      <c r="T37" s="1">
        <f t="shared" si="186"/>
        <v>0</v>
      </c>
      <c r="U37" s="1">
        <f t="shared" si="186"/>
        <v>0</v>
      </c>
      <c r="V37" s="1">
        <f t="shared" si="186"/>
        <v>0</v>
      </c>
      <c r="W37" s="1">
        <f t="shared" si="186"/>
        <v>0</v>
      </c>
      <c r="X37" s="1">
        <f t="shared" si="186"/>
        <v>0</v>
      </c>
      <c r="Y37" s="1">
        <f t="shared" si="186"/>
        <v>0</v>
      </c>
      <c r="Z37" s="1">
        <f t="shared" si="186"/>
        <v>0</v>
      </c>
      <c r="AA37" s="1">
        <f t="shared" si="186"/>
        <v>0</v>
      </c>
      <c r="AB37" s="1">
        <f t="shared" si="186"/>
        <v>0</v>
      </c>
      <c r="AC37" s="1">
        <f t="shared" si="186"/>
        <v>0</v>
      </c>
      <c r="AD37" s="1">
        <f t="shared" si="186"/>
        <v>0</v>
      </c>
      <c r="AE37" s="1">
        <f t="shared" si="186"/>
        <v>0</v>
      </c>
      <c r="AF37" s="1">
        <f t="shared" si="186"/>
        <v>0</v>
      </c>
      <c r="AG37" s="1">
        <f t="shared" si="186"/>
        <v>0</v>
      </c>
      <c r="AH37" s="1">
        <f t="shared" si="186"/>
        <v>0</v>
      </c>
      <c r="AI37" s="1">
        <f t="shared" si="186"/>
        <v>0</v>
      </c>
      <c r="AJ37" s="1">
        <f t="shared" si="186"/>
        <v>0</v>
      </c>
      <c r="AK37" s="1">
        <f t="shared" si="186"/>
        <v>0</v>
      </c>
      <c r="AL37" s="1">
        <f t="shared" si="186"/>
        <v>0</v>
      </c>
      <c r="AM37" s="1">
        <f t="shared" si="186"/>
        <v>0</v>
      </c>
      <c r="AN37" s="1">
        <f t="shared" si="186"/>
        <v>0</v>
      </c>
      <c r="AO37" s="1">
        <f t="shared" si="186"/>
        <v>0</v>
      </c>
      <c r="AP37" s="1">
        <f t="shared" si="186"/>
        <v>0</v>
      </c>
      <c r="AQ37" s="1">
        <f t="shared" si="186"/>
        <v>0</v>
      </c>
      <c r="AR37" s="1">
        <f t="shared" si="186"/>
        <v>0</v>
      </c>
      <c r="AS37" s="1">
        <f t="shared" si="186"/>
        <v>0</v>
      </c>
      <c r="AT37" s="1">
        <f t="shared" si="186"/>
        <v>0</v>
      </c>
      <c r="AU37" s="1">
        <f t="shared" si="186"/>
        <v>0</v>
      </c>
      <c r="AV37" s="1">
        <f t="shared" si="186"/>
        <v>0</v>
      </c>
      <c r="AW37" s="1">
        <f t="shared" si="186"/>
        <v>0</v>
      </c>
      <c r="AX37" s="1">
        <f t="shared" si="186"/>
        <v>0</v>
      </c>
      <c r="AY37" s="1">
        <f t="shared" si="186"/>
        <v>0</v>
      </c>
      <c r="AZ37" s="1">
        <f t="shared" si="186"/>
        <v>0</v>
      </c>
      <c r="BA37" s="1">
        <f t="shared" si="186"/>
        <v>0</v>
      </c>
      <c r="BB37" s="1">
        <f t="shared" si="186"/>
        <v>0</v>
      </c>
      <c r="BC37" s="1">
        <f t="shared" si="186"/>
        <v>0</v>
      </c>
      <c r="BD37" s="1">
        <f t="shared" si="186"/>
        <v>0</v>
      </c>
      <c r="BE37" s="1">
        <f t="shared" si="186"/>
        <v>0</v>
      </c>
      <c r="BF37" s="1">
        <f t="shared" si="186"/>
        <v>0</v>
      </c>
      <c r="BG37" s="1">
        <f t="shared" si="186"/>
        <v>0</v>
      </c>
      <c r="BH37" s="1">
        <f t="shared" si="186"/>
        <v>0</v>
      </c>
      <c r="BI37" s="1">
        <f t="shared" si="186"/>
        <v>0</v>
      </c>
      <c r="BJ37" s="1">
        <f t="shared" si="186"/>
        <v>0</v>
      </c>
      <c r="BK37" s="1">
        <f t="shared" si="186"/>
        <v>0</v>
      </c>
      <c r="BL37" s="1">
        <f t="shared" si="186"/>
        <v>0</v>
      </c>
      <c r="BM37" s="1">
        <f t="shared" si="186"/>
        <v>0</v>
      </c>
      <c r="BN37" s="1">
        <f t="shared" si="186"/>
        <v>0</v>
      </c>
      <c r="BO37" s="1">
        <f t="shared" si="186"/>
        <v>0</v>
      </c>
      <c r="BP37" s="1">
        <f t="shared" si="186"/>
        <v>0</v>
      </c>
      <c r="BQ37" s="1">
        <f t="shared" si="186"/>
        <v>0</v>
      </c>
      <c r="BR37" s="1">
        <f t="shared" si="187"/>
        <v>0</v>
      </c>
      <c r="BS37" s="1">
        <f t="shared" si="187"/>
        <v>0</v>
      </c>
      <c r="BT37" s="1">
        <f t="shared" si="187"/>
        <v>0</v>
      </c>
      <c r="BU37" s="1">
        <f t="shared" si="187"/>
        <v>0</v>
      </c>
      <c r="BV37" s="1">
        <f t="shared" si="187"/>
        <v>0</v>
      </c>
      <c r="BW37" s="1">
        <f t="shared" si="187"/>
        <v>0</v>
      </c>
      <c r="BX37" s="1">
        <f t="shared" si="187"/>
        <v>0</v>
      </c>
      <c r="BY37" s="1">
        <f t="shared" si="187"/>
        <v>0</v>
      </c>
      <c r="BZ37" s="1">
        <f t="shared" si="187"/>
        <v>0</v>
      </c>
      <c r="CA37" s="1">
        <f t="shared" si="187"/>
        <v>0</v>
      </c>
      <c r="CB37" s="1">
        <f t="shared" si="187"/>
        <v>0</v>
      </c>
      <c r="CC37" s="1">
        <f t="shared" si="187"/>
        <v>0</v>
      </c>
      <c r="CD37" s="1">
        <f t="shared" si="187"/>
        <v>0</v>
      </c>
      <c r="CE37" s="1">
        <f t="shared" si="187"/>
        <v>0</v>
      </c>
      <c r="CF37" s="1">
        <f t="shared" si="187"/>
        <v>0</v>
      </c>
      <c r="CG37" s="1">
        <f t="shared" si="187"/>
        <v>0</v>
      </c>
      <c r="CH37" s="1">
        <f t="shared" si="187"/>
        <v>0</v>
      </c>
      <c r="CI37" s="1">
        <f t="shared" si="187"/>
        <v>0</v>
      </c>
      <c r="CJ37" s="1">
        <f t="shared" si="187"/>
        <v>0</v>
      </c>
      <c r="CK37" s="1">
        <f t="shared" si="187"/>
        <v>0</v>
      </c>
      <c r="CL37" s="1">
        <f t="shared" si="187"/>
        <v>0</v>
      </c>
      <c r="CM37" s="1">
        <f t="shared" si="187"/>
        <v>0</v>
      </c>
      <c r="CN37" s="1">
        <f t="shared" si="187"/>
        <v>0</v>
      </c>
      <c r="CO37" s="1">
        <f t="shared" si="187"/>
        <v>0</v>
      </c>
      <c r="CP37" s="1">
        <f t="shared" si="187"/>
        <v>0</v>
      </c>
      <c r="CQ37" s="1">
        <f t="shared" si="187"/>
        <v>0</v>
      </c>
      <c r="CR37" s="1">
        <f t="shared" si="187"/>
        <v>0</v>
      </c>
      <c r="CS37" s="1">
        <f t="shared" si="187"/>
        <v>0</v>
      </c>
      <c r="CT37" s="1">
        <f t="shared" si="187"/>
        <v>0</v>
      </c>
      <c r="CU37" s="1">
        <f t="shared" si="187"/>
        <v>0</v>
      </c>
      <c r="CV37" s="1">
        <f t="shared" si="187"/>
        <v>0</v>
      </c>
      <c r="CW37" s="1">
        <f t="shared" si="187"/>
        <v>0</v>
      </c>
      <c r="CX37" s="1">
        <f t="shared" si="187"/>
        <v>0</v>
      </c>
      <c r="CY37" s="1">
        <f t="shared" si="187"/>
        <v>0</v>
      </c>
      <c r="CZ37" s="1">
        <f t="shared" si="187"/>
        <v>0</v>
      </c>
      <c r="DA37" s="1">
        <f t="shared" si="187"/>
        <v>0</v>
      </c>
      <c r="DB37" s="1">
        <f t="shared" si="187"/>
        <v>0</v>
      </c>
      <c r="DC37" s="1">
        <f t="shared" si="187"/>
        <v>0</v>
      </c>
      <c r="DD37" s="1">
        <f t="shared" si="187"/>
        <v>0</v>
      </c>
      <c r="DE37" s="1">
        <f t="shared" si="187"/>
        <v>0</v>
      </c>
      <c r="DF37" s="1">
        <f t="shared" si="187"/>
        <v>0</v>
      </c>
      <c r="DG37" s="1">
        <f t="shared" si="187"/>
        <v>0</v>
      </c>
      <c r="DH37" s="1">
        <f t="shared" si="187"/>
        <v>0</v>
      </c>
      <c r="DI37" s="1">
        <f t="shared" si="187"/>
        <v>0</v>
      </c>
      <c r="DJ37" s="1">
        <f t="shared" si="187"/>
        <v>0</v>
      </c>
      <c r="DK37" s="1">
        <f t="shared" si="187"/>
        <v>0</v>
      </c>
      <c r="DL37" s="1">
        <f t="shared" si="187"/>
        <v>0</v>
      </c>
      <c r="DM37" s="1">
        <f t="shared" si="187"/>
        <v>0</v>
      </c>
      <c r="DN37" s="1">
        <f t="shared" si="187"/>
        <v>0</v>
      </c>
      <c r="DO37" s="1">
        <f t="shared" si="187"/>
        <v>0</v>
      </c>
      <c r="DP37" s="1">
        <f t="shared" si="187"/>
        <v>0</v>
      </c>
      <c r="DQ37" s="1">
        <f t="shared" si="187"/>
        <v>0</v>
      </c>
      <c r="DR37" s="1">
        <f t="shared" si="187"/>
        <v>0</v>
      </c>
      <c r="DS37" s="1">
        <f t="shared" si="187"/>
        <v>0</v>
      </c>
      <c r="DT37" s="1">
        <f t="shared" si="187"/>
        <v>0</v>
      </c>
      <c r="DU37" s="1">
        <f t="shared" si="187"/>
        <v>0</v>
      </c>
      <c r="DV37" s="1">
        <f t="shared" si="187"/>
        <v>0</v>
      </c>
    </row>
    <row r="38" spans="1:126" x14ac:dyDescent="0.25">
      <c r="A38" s="26" t="s">
        <v>43</v>
      </c>
      <c r="B38" s="36">
        <f>+SUMIFS(ValoresMercado,Conceptos,A38,Tipo,TipoEspecifico)</f>
        <v>21061031.199999999</v>
      </c>
      <c r="C38" s="27"/>
      <c r="D38" s="35"/>
      <c r="E38" s="35">
        <f t="shared" si="37"/>
        <v>56</v>
      </c>
      <c r="F38" s="1">
        <f t="shared" si="188"/>
        <v>21061031.199999999</v>
      </c>
      <c r="G38" s="1">
        <f t="shared" si="186"/>
        <v>0</v>
      </c>
      <c r="H38" s="1">
        <f t="shared" si="186"/>
        <v>0</v>
      </c>
      <c r="I38" s="1">
        <f t="shared" si="186"/>
        <v>0</v>
      </c>
      <c r="J38" s="1">
        <f t="shared" si="186"/>
        <v>0</v>
      </c>
      <c r="K38" s="1">
        <f t="shared" si="186"/>
        <v>0</v>
      </c>
      <c r="L38" s="1">
        <f t="shared" si="186"/>
        <v>0</v>
      </c>
      <c r="M38" s="1">
        <f t="shared" si="186"/>
        <v>0</v>
      </c>
      <c r="N38" s="1">
        <f t="shared" si="186"/>
        <v>0</v>
      </c>
      <c r="O38" s="1">
        <f t="shared" si="186"/>
        <v>0</v>
      </c>
      <c r="P38" s="1">
        <f t="shared" si="186"/>
        <v>0</v>
      </c>
      <c r="Q38" s="1">
        <f t="shared" si="186"/>
        <v>0</v>
      </c>
      <c r="R38" s="1">
        <f t="shared" si="186"/>
        <v>0</v>
      </c>
      <c r="S38" s="1">
        <f t="shared" si="186"/>
        <v>0</v>
      </c>
      <c r="T38" s="1">
        <f t="shared" si="186"/>
        <v>0</v>
      </c>
      <c r="U38" s="1">
        <f t="shared" si="186"/>
        <v>0</v>
      </c>
      <c r="V38" s="1">
        <f t="shared" si="186"/>
        <v>0</v>
      </c>
      <c r="W38" s="1">
        <f t="shared" si="186"/>
        <v>0</v>
      </c>
      <c r="X38" s="1">
        <f t="shared" si="186"/>
        <v>0</v>
      </c>
      <c r="Y38" s="1">
        <f t="shared" si="186"/>
        <v>0</v>
      </c>
      <c r="Z38" s="1">
        <f t="shared" si="186"/>
        <v>0</v>
      </c>
      <c r="AA38" s="1">
        <f t="shared" si="186"/>
        <v>0</v>
      </c>
      <c r="AB38" s="1">
        <f t="shared" si="186"/>
        <v>0</v>
      </c>
      <c r="AC38" s="1">
        <f t="shared" si="186"/>
        <v>0</v>
      </c>
      <c r="AD38" s="1">
        <f t="shared" si="186"/>
        <v>0</v>
      </c>
      <c r="AE38" s="1">
        <f t="shared" si="186"/>
        <v>0</v>
      </c>
      <c r="AF38" s="1">
        <f t="shared" si="186"/>
        <v>0</v>
      </c>
      <c r="AG38" s="1">
        <f t="shared" si="186"/>
        <v>0</v>
      </c>
      <c r="AH38" s="1">
        <f t="shared" si="186"/>
        <v>0</v>
      </c>
      <c r="AI38" s="1">
        <f t="shared" si="186"/>
        <v>0</v>
      </c>
      <c r="AJ38" s="1">
        <f t="shared" si="186"/>
        <v>0</v>
      </c>
      <c r="AK38" s="1">
        <f t="shared" si="186"/>
        <v>0</v>
      </c>
      <c r="AL38" s="1">
        <f t="shared" si="186"/>
        <v>0</v>
      </c>
      <c r="AM38" s="1">
        <f t="shared" si="186"/>
        <v>0</v>
      </c>
      <c r="AN38" s="1">
        <f t="shared" si="186"/>
        <v>0</v>
      </c>
      <c r="AO38" s="1">
        <f t="shared" si="186"/>
        <v>0</v>
      </c>
      <c r="AP38" s="1">
        <f t="shared" si="186"/>
        <v>0</v>
      </c>
      <c r="AQ38" s="1">
        <f t="shared" si="186"/>
        <v>0</v>
      </c>
      <c r="AR38" s="1">
        <f t="shared" si="186"/>
        <v>0</v>
      </c>
      <c r="AS38" s="1">
        <f t="shared" si="186"/>
        <v>0</v>
      </c>
      <c r="AT38" s="1">
        <f t="shared" si="186"/>
        <v>0</v>
      </c>
      <c r="AU38" s="1">
        <f t="shared" si="186"/>
        <v>0</v>
      </c>
      <c r="AV38" s="1">
        <f t="shared" si="186"/>
        <v>0</v>
      </c>
      <c r="AW38" s="1">
        <f t="shared" si="186"/>
        <v>0</v>
      </c>
      <c r="AX38" s="1">
        <f t="shared" si="186"/>
        <v>0</v>
      </c>
      <c r="AY38" s="1">
        <f t="shared" si="186"/>
        <v>0</v>
      </c>
      <c r="AZ38" s="1">
        <f t="shared" si="186"/>
        <v>0</v>
      </c>
      <c r="BA38" s="1">
        <f t="shared" si="186"/>
        <v>0</v>
      </c>
      <c r="BB38" s="1">
        <f t="shared" si="186"/>
        <v>0</v>
      </c>
      <c r="BC38" s="1">
        <f t="shared" si="186"/>
        <v>0</v>
      </c>
      <c r="BD38" s="1">
        <f t="shared" si="186"/>
        <v>0</v>
      </c>
      <c r="BE38" s="1">
        <f t="shared" si="186"/>
        <v>0</v>
      </c>
      <c r="BF38" s="1">
        <f t="shared" si="186"/>
        <v>0</v>
      </c>
      <c r="BG38" s="1">
        <f t="shared" si="186"/>
        <v>0</v>
      </c>
      <c r="BH38" s="1">
        <f t="shared" si="186"/>
        <v>0</v>
      </c>
      <c r="BI38" s="1">
        <f t="shared" si="186"/>
        <v>0</v>
      </c>
      <c r="BJ38" s="1">
        <f t="shared" si="186"/>
        <v>0</v>
      </c>
      <c r="BK38" s="1">
        <f t="shared" si="186"/>
        <v>0</v>
      </c>
      <c r="BL38" s="1">
        <f t="shared" si="186"/>
        <v>0</v>
      </c>
      <c r="BM38" s="1">
        <f t="shared" si="186"/>
        <v>0</v>
      </c>
      <c r="BN38" s="1">
        <f t="shared" si="186"/>
        <v>0</v>
      </c>
      <c r="BO38" s="1">
        <f t="shared" si="186"/>
        <v>0</v>
      </c>
      <c r="BP38" s="1">
        <f t="shared" si="186"/>
        <v>0</v>
      </c>
      <c r="BQ38" s="1">
        <f t="shared" si="186"/>
        <v>0</v>
      </c>
      <c r="BR38" s="1">
        <f t="shared" si="187"/>
        <v>0</v>
      </c>
      <c r="BS38" s="1">
        <f t="shared" si="187"/>
        <v>0</v>
      </c>
      <c r="BT38" s="1">
        <f t="shared" si="187"/>
        <v>0</v>
      </c>
      <c r="BU38" s="1">
        <f t="shared" si="187"/>
        <v>0</v>
      </c>
      <c r="BV38" s="1">
        <f t="shared" si="187"/>
        <v>0</v>
      </c>
      <c r="BW38" s="1">
        <f t="shared" si="187"/>
        <v>0</v>
      </c>
      <c r="BX38" s="1">
        <f t="shared" si="187"/>
        <v>0</v>
      </c>
      <c r="BY38" s="1">
        <f t="shared" si="187"/>
        <v>0</v>
      </c>
      <c r="BZ38" s="1">
        <f t="shared" si="187"/>
        <v>0</v>
      </c>
      <c r="CA38" s="1">
        <f t="shared" si="187"/>
        <v>0</v>
      </c>
      <c r="CB38" s="1">
        <f t="shared" si="187"/>
        <v>0</v>
      </c>
      <c r="CC38" s="1">
        <f t="shared" si="187"/>
        <v>0</v>
      </c>
      <c r="CD38" s="1">
        <f t="shared" si="187"/>
        <v>0</v>
      </c>
      <c r="CE38" s="1">
        <f t="shared" si="187"/>
        <v>0</v>
      </c>
      <c r="CF38" s="1">
        <f t="shared" si="187"/>
        <v>0</v>
      </c>
      <c r="CG38" s="1">
        <f t="shared" si="187"/>
        <v>0</v>
      </c>
      <c r="CH38" s="1">
        <f t="shared" si="187"/>
        <v>0</v>
      </c>
      <c r="CI38" s="1">
        <f t="shared" si="187"/>
        <v>0</v>
      </c>
      <c r="CJ38" s="1">
        <f t="shared" si="187"/>
        <v>0</v>
      </c>
      <c r="CK38" s="1">
        <f t="shared" si="187"/>
        <v>0</v>
      </c>
      <c r="CL38" s="1">
        <f t="shared" si="187"/>
        <v>0</v>
      </c>
      <c r="CM38" s="1">
        <f t="shared" si="187"/>
        <v>0</v>
      </c>
      <c r="CN38" s="1">
        <f t="shared" si="187"/>
        <v>0</v>
      </c>
      <c r="CO38" s="1">
        <f t="shared" si="187"/>
        <v>0</v>
      </c>
      <c r="CP38" s="1">
        <f t="shared" si="187"/>
        <v>0</v>
      </c>
      <c r="CQ38" s="1">
        <f t="shared" si="187"/>
        <v>0</v>
      </c>
      <c r="CR38" s="1">
        <f t="shared" si="187"/>
        <v>0</v>
      </c>
      <c r="CS38" s="1">
        <f t="shared" si="187"/>
        <v>0</v>
      </c>
      <c r="CT38" s="1">
        <f t="shared" si="187"/>
        <v>0</v>
      </c>
      <c r="CU38" s="1">
        <f t="shared" si="187"/>
        <v>0</v>
      </c>
      <c r="CV38" s="1">
        <f t="shared" si="187"/>
        <v>0</v>
      </c>
      <c r="CW38" s="1">
        <f t="shared" si="187"/>
        <v>0</v>
      </c>
      <c r="CX38" s="1">
        <f t="shared" si="187"/>
        <v>0</v>
      </c>
      <c r="CY38" s="1">
        <f t="shared" si="187"/>
        <v>0</v>
      </c>
      <c r="CZ38" s="1">
        <f t="shared" si="187"/>
        <v>0</v>
      </c>
      <c r="DA38" s="1">
        <f t="shared" si="187"/>
        <v>0</v>
      </c>
      <c r="DB38" s="1">
        <f t="shared" si="187"/>
        <v>0</v>
      </c>
      <c r="DC38" s="1">
        <f t="shared" si="187"/>
        <v>0</v>
      </c>
      <c r="DD38" s="1">
        <f t="shared" si="187"/>
        <v>0</v>
      </c>
      <c r="DE38" s="1">
        <f t="shared" si="187"/>
        <v>0</v>
      </c>
      <c r="DF38" s="1">
        <f t="shared" si="187"/>
        <v>0</v>
      </c>
      <c r="DG38" s="1">
        <f t="shared" si="187"/>
        <v>0</v>
      </c>
      <c r="DH38" s="1">
        <f t="shared" si="187"/>
        <v>0</v>
      </c>
      <c r="DI38" s="1">
        <f t="shared" si="187"/>
        <v>0</v>
      </c>
      <c r="DJ38" s="1">
        <f t="shared" si="187"/>
        <v>0</v>
      </c>
      <c r="DK38" s="1">
        <f t="shared" si="187"/>
        <v>0</v>
      </c>
      <c r="DL38" s="1">
        <f t="shared" si="187"/>
        <v>0</v>
      </c>
      <c r="DM38" s="1">
        <f t="shared" si="187"/>
        <v>0</v>
      </c>
      <c r="DN38" s="1">
        <f t="shared" si="187"/>
        <v>0</v>
      </c>
      <c r="DO38" s="1">
        <f t="shared" si="187"/>
        <v>0</v>
      </c>
      <c r="DP38" s="1">
        <f t="shared" si="187"/>
        <v>0</v>
      </c>
      <c r="DQ38" s="1">
        <f t="shared" si="187"/>
        <v>0</v>
      </c>
      <c r="DR38" s="1">
        <f t="shared" si="187"/>
        <v>0</v>
      </c>
      <c r="DS38" s="1">
        <f t="shared" si="187"/>
        <v>0</v>
      </c>
      <c r="DT38" s="1">
        <f t="shared" si="187"/>
        <v>0</v>
      </c>
      <c r="DU38" s="1">
        <f t="shared" si="187"/>
        <v>0</v>
      </c>
      <c r="DV38" s="1">
        <f t="shared" si="187"/>
        <v>0</v>
      </c>
    </row>
    <row r="39" spans="1:126" x14ac:dyDescent="0.25">
      <c r="A39" s="26" t="s">
        <v>38</v>
      </c>
      <c r="B39" s="36">
        <f>+SUMIFS(ValoresMercado,Conceptos,A39,Tipo,TipoEspecifico,Relacion,KW_EnergiaValor)</f>
        <v>0</v>
      </c>
      <c r="C39" s="26"/>
      <c r="D39" s="35"/>
      <c r="E39" s="35">
        <f t="shared" si="37"/>
        <v>56</v>
      </c>
      <c r="F39" s="1">
        <f t="shared" si="188"/>
        <v>0</v>
      </c>
      <c r="G39" s="1">
        <f t="shared" si="186"/>
        <v>0</v>
      </c>
      <c r="H39" s="1">
        <f t="shared" si="186"/>
        <v>0</v>
      </c>
      <c r="I39" s="1">
        <f t="shared" si="186"/>
        <v>0</v>
      </c>
      <c r="J39" s="1">
        <f t="shared" si="186"/>
        <v>0</v>
      </c>
      <c r="K39" s="1">
        <f t="shared" si="186"/>
        <v>0</v>
      </c>
      <c r="L39" s="1">
        <f t="shared" si="186"/>
        <v>0</v>
      </c>
      <c r="M39" s="1">
        <f t="shared" si="186"/>
        <v>0</v>
      </c>
      <c r="N39" s="1">
        <f t="shared" si="186"/>
        <v>0</v>
      </c>
      <c r="O39" s="1">
        <f t="shared" si="186"/>
        <v>0</v>
      </c>
      <c r="P39" s="1">
        <f t="shared" si="186"/>
        <v>0</v>
      </c>
      <c r="Q39" s="1">
        <f t="shared" si="186"/>
        <v>0</v>
      </c>
      <c r="R39" s="1">
        <f t="shared" si="186"/>
        <v>0</v>
      </c>
      <c r="S39" s="1">
        <f t="shared" si="186"/>
        <v>0</v>
      </c>
      <c r="T39" s="1">
        <f t="shared" si="186"/>
        <v>0</v>
      </c>
      <c r="U39" s="1">
        <f t="shared" si="186"/>
        <v>0</v>
      </c>
      <c r="V39" s="1">
        <f t="shared" si="186"/>
        <v>0</v>
      </c>
      <c r="W39" s="1">
        <f t="shared" si="186"/>
        <v>0</v>
      </c>
      <c r="X39" s="1">
        <f t="shared" si="186"/>
        <v>0</v>
      </c>
      <c r="Y39" s="1">
        <f t="shared" si="186"/>
        <v>0</v>
      </c>
      <c r="Z39" s="1">
        <f t="shared" si="186"/>
        <v>0</v>
      </c>
      <c r="AA39" s="1">
        <f t="shared" si="186"/>
        <v>0</v>
      </c>
      <c r="AB39" s="1">
        <f t="shared" si="186"/>
        <v>0</v>
      </c>
      <c r="AC39" s="1">
        <f t="shared" si="186"/>
        <v>0</v>
      </c>
      <c r="AD39" s="1">
        <f t="shared" si="186"/>
        <v>0</v>
      </c>
      <c r="AE39" s="1">
        <f t="shared" si="186"/>
        <v>0</v>
      </c>
      <c r="AF39" s="1">
        <f t="shared" si="186"/>
        <v>0</v>
      </c>
      <c r="AG39" s="1">
        <f t="shared" si="186"/>
        <v>0</v>
      </c>
      <c r="AH39" s="1">
        <f t="shared" si="186"/>
        <v>0</v>
      </c>
      <c r="AI39" s="1">
        <f t="shared" si="186"/>
        <v>0</v>
      </c>
      <c r="AJ39" s="1">
        <f t="shared" si="186"/>
        <v>0</v>
      </c>
      <c r="AK39" s="1">
        <f t="shared" si="186"/>
        <v>0</v>
      </c>
      <c r="AL39" s="1">
        <f t="shared" si="186"/>
        <v>0</v>
      </c>
      <c r="AM39" s="1">
        <f t="shared" si="186"/>
        <v>0</v>
      </c>
      <c r="AN39" s="1">
        <f t="shared" si="186"/>
        <v>0</v>
      </c>
      <c r="AO39" s="1">
        <f t="shared" si="186"/>
        <v>0</v>
      </c>
      <c r="AP39" s="1">
        <f t="shared" si="186"/>
        <v>0</v>
      </c>
      <c r="AQ39" s="1">
        <f t="shared" si="186"/>
        <v>0</v>
      </c>
      <c r="AR39" s="1">
        <f t="shared" si="186"/>
        <v>0</v>
      </c>
      <c r="AS39" s="1">
        <f t="shared" si="186"/>
        <v>0</v>
      </c>
      <c r="AT39" s="1">
        <f t="shared" si="186"/>
        <v>0</v>
      </c>
      <c r="AU39" s="1">
        <f t="shared" si="186"/>
        <v>0</v>
      </c>
      <c r="AV39" s="1">
        <f t="shared" si="186"/>
        <v>0</v>
      </c>
      <c r="AW39" s="1">
        <f t="shared" si="186"/>
        <v>0</v>
      </c>
      <c r="AX39" s="1">
        <f t="shared" si="186"/>
        <v>0</v>
      </c>
      <c r="AY39" s="1">
        <f t="shared" si="186"/>
        <v>0</v>
      </c>
      <c r="AZ39" s="1">
        <f t="shared" si="186"/>
        <v>0</v>
      </c>
      <c r="BA39" s="1">
        <f t="shared" si="186"/>
        <v>0</v>
      </c>
      <c r="BB39" s="1">
        <f t="shared" si="186"/>
        <v>0</v>
      </c>
      <c r="BC39" s="1">
        <f t="shared" si="186"/>
        <v>0</v>
      </c>
      <c r="BD39" s="1">
        <f t="shared" si="186"/>
        <v>0</v>
      </c>
      <c r="BE39" s="1">
        <f t="shared" si="186"/>
        <v>0</v>
      </c>
      <c r="BF39" s="1">
        <f t="shared" si="186"/>
        <v>0</v>
      </c>
      <c r="BG39" s="1">
        <f t="shared" si="186"/>
        <v>0</v>
      </c>
      <c r="BH39" s="1">
        <f t="shared" si="186"/>
        <v>0</v>
      </c>
      <c r="BI39" s="1">
        <f t="shared" si="186"/>
        <v>0</v>
      </c>
      <c r="BJ39" s="1">
        <f t="shared" si="186"/>
        <v>0</v>
      </c>
      <c r="BK39" s="1">
        <f t="shared" si="186"/>
        <v>0</v>
      </c>
      <c r="BL39" s="1">
        <f t="shared" si="186"/>
        <v>0</v>
      </c>
      <c r="BM39" s="1">
        <f t="shared" si="186"/>
        <v>0</v>
      </c>
      <c r="BN39" s="1">
        <f t="shared" si="186"/>
        <v>0</v>
      </c>
      <c r="BO39" s="1">
        <f t="shared" si="186"/>
        <v>0</v>
      </c>
      <c r="BP39" s="1">
        <f t="shared" si="186"/>
        <v>0</v>
      </c>
      <c r="BQ39" s="1">
        <f t="shared" si="186"/>
        <v>0</v>
      </c>
      <c r="BR39" s="1">
        <f t="shared" si="187"/>
        <v>0</v>
      </c>
      <c r="BS39" s="1">
        <f t="shared" si="187"/>
        <v>0</v>
      </c>
      <c r="BT39" s="1">
        <f t="shared" si="187"/>
        <v>0</v>
      </c>
      <c r="BU39" s="1">
        <f t="shared" si="187"/>
        <v>0</v>
      </c>
      <c r="BV39" s="1">
        <f t="shared" si="187"/>
        <v>0</v>
      </c>
      <c r="BW39" s="1">
        <f t="shared" si="187"/>
        <v>0</v>
      </c>
      <c r="BX39" s="1">
        <f t="shared" si="187"/>
        <v>0</v>
      </c>
      <c r="BY39" s="1">
        <f t="shared" si="187"/>
        <v>0</v>
      </c>
      <c r="BZ39" s="1">
        <f t="shared" si="187"/>
        <v>0</v>
      </c>
      <c r="CA39" s="1">
        <f t="shared" si="187"/>
        <v>0</v>
      </c>
      <c r="CB39" s="1">
        <f t="shared" si="187"/>
        <v>0</v>
      </c>
      <c r="CC39" s="1">
        <f t="shared" si="187"/>
        <v>0</v>
      </c>
      <c r="CD39" s="1">
        <f t="shared" si="187"/>
        <v>0</v>
      </c>
      <c r="CE39" s="1">
        <f t="shared" si="187"/>
        <v>0</v>
      </c>
      <c r="CF39" s="1">
        <f t="shared" si="187"/>
        <v>0</v>
      </c>
      <c r="CG39" s="1">
        <f t="shared" si="187"/>
        <v>0</v>
      </c>
      <c r="CH39" s="1">
        <f t="shared" si="187"/>
        <v>0</v>
      </c>
      <c r="CI39" s="1">
        <f t="shared" si="187"/>
        <v>0</v>
      </c>
      <c r="CJ39" s="1">
        <f t="shared" si="187"/>
        <v>0</v>
      </c>
      <c r="CK39" s="1">
        <f t="shared" si="187"/>
        <v>0</v>
      </c>
      <c r="CL39" s="1">
        <f t="shared" si="187"/>
        <v>0</v>
      </c>
      <c r="CM39" s="1">
        <f t="shared" si="187"/>
        <v>0</v>
      </c>
      <c r="CN39" s="1">
        <f t="shared" si="187"/>
        <v>0</v>
      </c>
      <c r="CO39" s="1">
        <f t="shared" si="187"/>
        <v>0</v>
      </c>
      <c r="CP39" s="1">
        <f t="shared" si="187"/>
        <v>0</v>
      </c>
      <c r="CQ39" s="1">
        <f t="shared" si="187"/>
        <v>0</v>
      </c>
      <c r="CR39" s="1">
        <f t="shared" si="187"/>
        <v>0</v>
      </c>
      <c r="CS39" s="1">
        <f t="shared" si="187"/>
        <v>0</v>
      </c>
      <c r="CT39" s="1">
        <f t="shared" si="187"/>
        <v>0</v>
      </c>
      <c r="CU39" s="1">
        <f t="shared" si="187"/>
        <v>0</v>
      </c>
      <c r="CV39" s="1">
        <f t="shared" si="187"/>
        <v>0</v>
      </c>
      <c r="CW39" s="1">
        <f t="shared" si="187"/>
        <v>0</v>
      </c>
      <c r="CX39" s="1">
        <f t="shared" si="187"/>
        <v>0</v>
      </c>
      <c r="CY39" s="1">
        <f t="shared" si="187"/>
        <v>0</v>
      </c>
      <c r="CZ39" s="1">
        <f t="shared" si="187"/>
        <v>0</v>
      </c>
      <c r="DA39" s="1">
        <f t="shared" si="187"/>
        <v>0</v>
      </c>
      <c r="DB39" s="1">
        <f t="shared" si="187"/>
        <v>0</v>
      </c>
      <c r="DC39" s="1">
        <f t="shared" si="187"/>
        <v>0</v>
      </c>
      <c r="DD39" s="1">
        <f t="shared" si="187"/>
        <v>0</v>
      </c>
      <c r="DE39" s="1">
        <f t="shared" si="187"/>
        <v>0</v>
      </c>
      <c r="DF39" s="1">
        <f t="shared" si="187"/>
        <v>0</v>
      </c>
      <c r="DG39" s="1">
        <f t="shared" si="187"/>
        <v>0</v>
      </c>
      <c r="DH39" s="1">
        <f t="shared" si="187"/>
        <v>0</v>
      </c>
      <c r="DI39" s="1">
        <f t="shared" si="187"/>
        <v>0</v>
      </c>
      <c r="DJ39" s="1">
        <f t="shared" si="187"/>
        <v>0</v>
      </c>
      <c r="DK39" s="1">
        <f t="shared" si="187"/>
        <v>0</v>
      </c>
      <c r="DL39" s="1">
        <f t="shared" si="187"/>
        <v>0</v>
      </c>
      <c r="DM39" s="1">
        <f t="shared" si="187"/>
        <v>0</v>
      </c>
      <c r="DN39" s="1">
        <f t="shared" si="187"/>
        <v>0</v>
      </c>
      <c r="DO39" s="1">
        <f t="shared" si="187"/>
        <v>0</v>
      </c>
      <c r="DP39" s="1">
        <f t="shared" si="187"/>
        <v>0</v>
      </c>
      <c r="DQ39" s="1">
        <f t="shared" si="187"/>
        <v>0</v>
      </c>
      <c r="DR39" s="1">
        <f t="shared" si="187"/>
        <v>0</v>
      </c>
      <c r="DS39" s="1">
        <f t="shared" si="187"/>
        <v>0</v>
      </c>
      <c r="DT39" s="1">
        <f t="shared" si="187"/>
        <v>0</v>
      </c>
      <c r="DU39" s="1">
        <f t="shared" si="187"/>
        <v>0</v>
      </c>
      <c r="DV39" s="1">
        <f t="shared" si="187"/>
        <v>0</v>
      </c>
    </row>
    <row r="40" spans="1:126" x14ac:dyDescent="0.25">
      <c r="A40" s="26" t="s">
        <v>137</v>
      </c>
      <c r="B40" s="36">
        <f>+IF('Parametros tecnológicos'!C27="S",Detalle!P966,0)</f>
        <v>0</v>
      </c>
      <c r="C40" s="26"/>
      <c r="D40" s="35"/>
      <c r="E40" s="35">
        <f t="shared" si="37"/>
        <v>56</v>
      </c>
      <c r="F40" s="1">
        <f t="shared" si="188"/>
        <v>0</v>
      </c>
      <c r="G40" s="1">
        <f t="shared" si="186"/>
        <v>0</v>
      </c>
      <c r="H40" s="1">
        <f t="shared" si="186"/>
        <v>0</v>
      </c>
      <c r="I40" s="1">
        <f t="shared" ref="I40:BR41" si="189">+IF($A40="","",IF($D40=I$15,$B40+IF(MONTH($B$8)-MONTH($B$7)+$E$14=H$14,$C40,0),0))</f>
        <v>0</v>
      </c>
      <c r="J40" s="1">
        <f t="shared" si="189"/>
        <v>0</v>
      </c>
      <c r="K40" s="1">
        <f t="shared" si="189"/>
        <v>0</v>
      </c>
      <c r="L40" s="1">
        <f t="shared" si="189"/>
        <v>0</v>
      </c>
      <c r="M40" s="1">
        <f t="shared" si="189"/>
        <v>0</v>
      </c>
      <c r="N40" s="1">
        <f t="shared" si="189"/>
        <v>0</v>
      </c>
      <c r="O40" s="1">
        <f t="shared" si="189"/>
        <v>0</v>
      </c>
      <c r="P40" s="1">
        <f t="shared" si="189"/>
        <v>0</v>
      </c>
      <c r="Q40" s="1">
        <f t="shared" si="189"/>
        <v>0</v>
      </c>
      <c r="R40" s="1">
        <f t="shared" si="189"/>
        <v>0</v>
      </c>
      <c r="S40" s="1">
        <f t="shared" si="189"/>
        <v>0</v>
      </c>
      <c r="T40" s="1">
        <f t="shared" si="189"/>
        <v>0</v>
      </c>
      <c r="U40" s="1">
        <f t="shared" si="189"/>
        <v>0</v>
      </c>
      <c r="V40" s="1">
        <f t="shared" si="189"/>
        <v>0</v>
      </c>
      <c r="W40" s="1">
        <f t="shared" si="189"/>
        <v>0</v>
      </c>
      <c r="X40" s="1">
        <f t="shared" si="189"/>
        <v>0</v>
      </c>
      <c r="Y40" s="1">
        <f t="shared" si="189"/>
        <v>0</v>
      </c>
      <c r="Z40" s="1">
        <f t="shared" si="189"/>
        <v>0</v>
      </c>
      <c r="AA40" s="1">
        <f t="shared" si="189"/>
        <v>0</v>
      </c>
      <c r="AB40" s="1">
        <f t="shared" si="189"/>
        <v>0</v>
      </c>
      <c r="AC40" s="1">
        <f t="shared" si="189"/>
        <v>0</v>
      </c>
      <c r="AD40" s="1">
        <f t="shared" si="189"/>
        <v>0</v>
      </c>
      <c r="AE40" s="1">
        <f t="shared" si="189"/>
        <v>0</v>
      </c>
      <c r="AF40" s="1">
        <f t="shared" si="189"/>
        <v>0</v>
      </c>
      <c r="AG40" s="1">
        <f t="shared" si="189"/>
        <v>0</v>
      </c>
      <c r="AH40" s="1">
        <f t="shared" si="189"/>
        <v>0</v>
      </c>
      <c r="AI40" s="1">
        <f t="shared" si="189"/>
        <v>0</v>
      </c>
      <c r="AJ40" s="1">
        <f t="shared" si="189"/>
        <v>0</v>
      </c>
      <c r="AK40" s="1">
        <f t="shared" si="189"/>
        <v>0</v>
      </c>
      <c r="AL40" s="1">
        <f t="shared" si="189"/>
        <v>0</v>
      </c>
      <c r="AM40" s="1">
        <f t="shared" si="189"/>
        <v>0</v>
      </c>
      <c r="AN40" s="1">
        <f t="shared" si="189"/>
        <v>0</v>
      </c>
      <c r="AO40" s="1">
        <f t="shared" si="189"/>
        <v>0</v>
      </c>
      <c r="AP40" s="1">
        <f t="shared" si="189"/>
        <v>0</v>
      </c>
      <c r="AQ40" s="1">
        <f t="shared" si="189"/>
        <v>0</v>
      </c>
      <c r="AR40" s="1">
        <f t="shared" si="189"/>
        <v>0</v>
      </c>
      <c r="AS40" s="1">
        <f t="shared" si="189"/>
        <v>0</v>
      </c>
      <c r="AT40" s="1">
        <f t="shared" si="189"/>
        <v>0</v>
      </c>
      <c r="AU40" s="1">
        <f t="shared" si="189"/>
        <v>0</v>
      </c>
      <c r="AV40" s="1">
        <f t="shared" si="189"/>
        <v>0</v>
      </c>
      <c r="AW40" s="1">
        <f t="shared" si="189"/>
        <v>0</v>
      </c>
      <c r="AX40" s="1">
        <f t="shared" si="189"/>
        <v>0</v>
      </c>
      <c r="AY40" s="1">
        <f t="shared" si="189"/>
        <v>0</v>
      </c>
      <c r="AZ40" s="1">
        <f t="shared" si="189"/>
        <v>0</v>
      </c>
      <c r="BA40" s="1">
        <f t="shared" si="189"/>
        <v>0</v>
      </c>
      <c r="BB40" s="1">
        <f t="shared" si="189"/>
        <v>0</v>
      </c>
      <c r="BC40" s="1">
        <f t="shared" si="189"/>
        <v>0</v>
      </c>
      <c r="BD40" s="1">
        <f t="shared" si="189"/>
        <v>0</v>
      </c>
      <c r="BE40" s="1">
        <f t="shared" si="189"/>
        <v>0</v>
      </c>
      <c r="BF40" s="1">
        <f t="shared" si="189"/>
        <v>0</v>
      </c>
      <c r="BG40" s="1">
        <f t="shared" si="189"/>
        <v>0</v>
      </c>
      <c r="BH40" s="1">
        <f t="shared" si="189"/>
        <v>0</v>
      </c>
      <c r="BI40" s="1">
        <f t="shared" si="189"/>
        <v>0</v>
      </c>
      <c r="BJ40" s="1">
        <f t="shared" si="189"/>
        <v>0</v>
      </c>
      <c r="BK40" s="1">
        <f t="shared" si="189"/>
        <v>0</v>
      </c>
      <c r="BL40" s="1">
        <f t="shared" si="189"/>
        <v>0</v>
      </c>
      <c r="BM40" s="1">
        <f t="shared" si="189"/>
        <v>0</v>
      </c>
      <c r="BN40" s="1">
        <f t="shared" si="189"/>
        <v>0</v>
      </c>
      <c r="BO40" s="1">
        <f t="shared" si="189"/>
        <v>0</v>
      </c>
      <c r="BP40" s="1">
        <f t="shared" si="189"/>
        <v>0</v>
      </c>
      <c r="BQ40" s="1">
        <f t="shared" si="189"/>
        <v>0</v>
      </c>
      <c r="BR40" s="1">
        <f t="shared" si="189"/>
        <v>0</v>
      </c>
      <c r="BS40" s="1">
        <f t="shared" si="187"/>
        <v>0</v>
      </c>
      <c r="BT40" s="1">
        <f t="shared" si="187"/>
        <v>0</v>
      </c>
      <c r="BU40" s="1">
        <f t="shared" si="187"/>
        <v>0</v>
      </c>
      <c r="BV40" s="1">
        <f t="shared" si="187"/>
        <v>0</v>
      </c>
      <c r="BW40" s="1">
        <f t="shared" si="187"/>
        <v>0</v>
      </c>
      <c r="BX40" s="1">
        <f t="shared" si="187"/>
        <v>0</v>
      </c>
      <c r="BY40" s="1">
        <f t="shared" si="187"/>
        <v>0</v>
      </c>
      <c r="BZ40" s="1">
        <f t="shared" si="187"/>
        <v>0</v>
      </c>
      <c r="CA40" s="1">
        <f t="shared" si="187"/>
        <v>0</v>
      </c>
      <c r="CB40" s="1">
        <f t="shared" si="187"/>
        <v>0</v>
      </c>
      <c r="CC40" s="1">
        <f t="shared" si="187"/>
        <v>0</v>
      </c>
      <c r="CD40" s="1">
        <f t="shared" si="187"/>
        <v>0</v>
      </c>
      <c r="CE40" s="1">
        <f t="shared" si="187"/>
        <v>0</v>
      </c>
      <c r="CF40" s="1">
        <f t="shared" si="187"/>
        <v>0</v>
      </c>
      <c r="CG40" s="1">
        <f t="shared" si="187"/>
        <v>0</v>
      </c>
      <c r="CH40" s="1">
        <f t="shared" si="187"/>
        <v>0</v>
      </c>
      <c r="CI40" s="1">
        <f t="shared" si="187"/>
        <v>0</v>
      </c>
      <c r="CJ40" s="1">
        <f t="shared" si="187"/>
        <v>0</v>
      </c>
      <c r="CK40" s="1">
        <f t="shared" si="187"/>
        <v>0</v>
      </c>
      <c r="CL40" s="1">
        <f t="shared" si="187"/>
        <v>0</v>
      </c>
      <c r="CM40" s="1">
        <f t="shared" si="187"/>
        <v>0</v>
      </c>
      <c r="CN40" s="1">
        <f t="shared" si="187"/>
        <v>0</v>
      </c>
      <c r="CO40" s="1">
        <f t="shared" si="187"/>
        <v>0</v>
      </c>
      <c r="CP40" s="1">
        <f t="shared" si="187"/>
        <v>0</v>
      </c>
      <c r="CQ40" s="1">
        <f t="shared" si="187"/>
        <v>0</v>
      </c>
      <c r="CR40" s="1">
        <f t="shared" si="187"/>
        <v>0</v>
      </c>
      <c r="CS40" s="1">
        <f t="shared" si="187"/>
        <v>0</v>
      </c>
      <c r="CT40" s="1">
        <f t="shared" ref="CT40:DV40" si="190">+IF($A40="","",IF($D40=CT$15,$B40+IF(MONTH($B$8)-MONTH($B$7)+$E$14=CS$14,$C40,0),0))</f>
        <v>0</v>
      </c>
      <c r="CU40" s="1">
        <f t="shared" si="190"/>
        <v>0</v>
      </c>
      <c r="CV40" s="1">
        <f t="shared" si="190"/>
        <v>0</v>
      </c>
      <c r="CW40" s="1">
        <f t="shared" si="190"/>
        <v>0</v>
      </c>
      <c r="CX40" s="1">
        <f t="shared" si="190"/>
        <v>0</v>
      </c>
      <c r="CY40" s="1">
        <f t="shared" si="190"/>
        <v>0</v>
      </c>
      <c r="CZ40" s="1">
        <f t="shared" si="190"/>
        <v>0</v>
      </c>
      <c r="DA40" s="1">
        <f t="shared" si="190"/>
        <v>0</v>
      </c>
      <c r="DB40" s="1">
        <f t="shared" si="190"/>
        <v>0</v>
      </c>
      <c r="DC40" s="1">
        <f t="shared" si="190"/>
        <v>0</v>
      </c>
      <c r="DD40" s="1">
        <f t="shared" si="190"/>
        <v>0</v>
      </c>
      <c r="DE40" s="1">
        <f t="shared" si="190"/>
        <v>0</v>
      </c>
      <c r="DF40" s="1">
        <f t="shared" si="190"/>
        <v>0</v>
      </c>
      <c r="DG40" s="1">
        <f t="shared" si="190"/>
        <v>0</v>
      </c>
      <c r="DH40" s="1">
        <f t="shared" si="190"/>
        <v>0</v>
      </c>
      <c r="DI40" s="1">
        <f t="shared" si="190"/>
        <v>0</v>
      </c>
      <c r="DJ40" s="1">
        <f t="shared" si="190"/>
        <v>0</v>
      </c>
      <c r="DK40" s="1">
        <f t="shared" si="190"/>
        <v>0</v>
      </c>
      <c r="DL40" s="1">
        <f t="shared" si="190"/>
        <v>0</v>
      </c>
      <c r="DM40" s="1">
        <f t="shared" si="190"/>
        <v>0</v>
      </c>
      <c r="DN40" s="1">
        <f t="shared" si="190"/>
        <v>0</v>
      </c>
      <c r="DO40" s="1">
        <f t="shared" si="190"/>
        <v>0</v>
      </c>
      <c r="DP40" s="1">
        <f t="shared" si="190"/>
        <v>0</v>
      </c>
      <c r="DQ40" s="1">
        <f t="shared" si="190"/>
        <v>0</v>
      </c>
      <c r="DR40" s="1">
        <f t="shared" si="190"/>
        <v>0</v>
      </c>
      <c r="DS40" s="1">
        <f t="shared" si="190"/>
        <v>0</v>
      </c>
      <c r="DT40" s="1">
        <f t="shared" si="190"/>
        <v>0</v>
      </c>
      <c r="DU40" s="1">
        <f t="shared" si="190"/>
        <v>0</v>
      </c>
      <c r="DV40" s="1">
        <f t="shared" si="190"/>
        <v>0</v>
      </c>
    </row>
    <row r="41" spans="1:126" ht="16.5" thickBot="1" x14ac:dyDescent="0.3">
      <c r="A41" s="26" t="s">
        <v>315</v>
      </c>
      <c r="B41" s="36">
        <f>+IF('Parametros tecnológicos'!$C$34="S",Detalle!$P$967,0)</f>
        <v>0</v>
      </c>
      <c r="C41" s="26"/>
      <c r="D41" s="35"/>
      <c r="E41" s="35">
        <f t="shared" si="37"/>
        <v>56</v>
      </c>
      <c r="F41" s="1">
        <f t="shared" ref="F41:BQ41" si="191">+IF($A41="","",IF($D41=F$15,$B41+IF(MONTH($B$8)-MONTH($B$7)+$E$14=E$14,$C41,0),0))</f>
        <v>0</v>
      </c>
      <c r="G41" s="1">
        <f t="shared" si="191"/>
        <v>0</v>
      </c>
      <c r="H41" s="1">
        <f t="shared" si="191"/>
        <v>0</v>
      </c>
      <c r="I41" s="1">
        <f t="shared" si="191"/>
        <v>0</v>
      </c>
      <c r="J41" s="1">
        <f t="shared" si="191"/>
        <v>0</v>
      </c>
      <c r="K41" s="1">
        <f t="shared" si="191"/>
        <v>0</v>
      </c>
      <c r="L41" s="1">
        <f t="shared" si="191"/>
        <v>0</v>
      </c>
      <c r="M41" s="1">
        <f t="shared" si="191"/>
        <v>0</v>
      </c>
      <c r="N41" s="1">
        <f t="shared" si="191"/>
        <v>0</v>
      </c>
      <c r="O41" s="1">
        <f t="shared" si="191"/>
        <v>0</v>
      </c>
      <c r="P41" s="1">
        <f t="shared" si="191"/>
        <v>0</v>
      </c>
      <c r="Q41" s="1">
        <f t="shared" si="191"/>
        <v>0</v>
      </c>
      <c r="R41" s="1">
        <f t="shared" si="191"/>
        <v>0</v>
      </c>
      <c r="S41" s="1">
        <f t="shared" si="191"/>
        <v>0</v>
      </c>
      <c r="T41" s="1">
        <f t="shared" si="191"/>
        <v>0</v>
      </c>
      <c r="U41" s="1">
        <f t="shared" si="191"/>
        <v>0</v>
      </c>
      <c r="V41" s="1">
        <f t="shared" si="191"/>
        <v>0</v>
      </c>
      <c r="W41" s="1">
        <f t="shared" si="191"/>
        <v>0</v>
      </c>
      <c r="X41" s="1">
        <f t="shared" si="191"/>
        <v>0</v>
      </c>
      <c r="Y41" s="1">
        <f t="shared" si="191"/>
        <v>0</v>
      </c>
      <c r="Z41" s="1">
        <f t="shared" si="191"/>
        <v>0</v>
      </c>
      <c r="AA41" s="1">
        <f t="shared" si="191"/>
        <v>0</v>
      </c>
      <c r="AB41" s="1">
        <f t="shared" si="191"/>
        <v>0</v>
      </c>
      <c r="AC41" s="1">
        <f t="shared" si="191"/>
        <v>0</v>
      </c>
      <c r="AD41" s="1">
        <f t="shared" si="191"/>
        <v>0</v>
      </c>
      <c r="AE41" s="1">
        <f t="shared" si="191"/>
        <v>0</v>
      </c>
      <c r="AF41" s="1">
        <f t="shared" si="191"/>
        <v>0</v>
      </c>
      <c r="AG41" s="1">
        <f t="shared" si="191"/>
        <v>0</v>
      </c>
      <c r="AH41" s="1">
        <f t="shared" si="191"/>
        <v>0</v>
      </c>
      <c r="AI41" s="1">
        <f t="shared" si="191"/>
        <v>0</v>
      </c>
      <c r="AJ41" s="1">
        <f t="shared" si="191"/>
        <v>0</v>
      </c>
      <c r="AK41" s="1">
        <f t="shared" si="191"/>
        <v>0</v>
      </c>
      <c r="AL41" s="1">
        <f t="shared" si="191"/>
        <v>0</v>
      </c>
      <c r="AM41" s="1">
        <f t="shared" si="191"/>
        <v>0</v>
      </c>
      <c r="AN41" s="1">
        <f t="shared" si="191"/>
        <v>0</v>
      </c>
      <c r="AO41" s="1">
        <f t="shared" si="191"/>
        <v>0</v>
      </c>
      <c r="AP41" s="1">
        <f t="shared" si="191"/>
        <v>0</v>
      </c>
      <c r="AQ41" s="1">
        <f t="shared" si="191"/>
        <v>0</v>
      </c>
      <c r="AR41" s="1">
        <f t="shared" si="191"/>
        <v>0</v>
      </c>
      <c r="AS41" s="1">
        <f t="shared" si="191"/>
        <v>0</v>
      </c>
      <c r="AT41" s="1">
        <f t="shared" si="191"/>
        <v>0</v>
      </c>
      <c r="AU41" s="1">
        <f t="shared" si="191"/>
        <v>0</v>
      </c>
      <c r="AV41" s="1">
        <f t="shared" si="191"/>
        <v>0</v>
      </c>
      <c r="AW41" s="1">
        <f t="shared" si="191"/>
        <v>0</v>
      </c>
      <c r="AX41" s="1">
        <f t="shared" si="191"/>
        <v>0</v>
      </c>
      <c r="AY41" s="1">
        <f t="shared" si="191"/>
        <v>0</v>
      </c>
      <c r="AZ41" s="1">
        <f t="shared" si="191"/>
        <v>0</v>
      </c>
      <c r="BA41" s="1">
        <f t="shared" si="191"/>
        <v>0</v>
      </c>
      <c r="BB41" s="1">
        <f t="shared" si="191"/>
        <v>0</v>
      </c>
      <c r="BC41" s="1">
        <f t="shared" si="191"/>
        <v>0</v>
      </c>
      <c r="BD41" s="1">
        <f t="shared" si="191"/>
        <v>0</v>
      </c>
      <c r="BE41" s="1">
        <f t="shared" si="191"/>
        <v>0</v>
      </c>
      <c r="BF41" s="1">
        <f t="shared" si="191"/>
        <v>0</v>
      </c>
      <c r="BG41" s="1">
        <f t="shared" si="191"/>
        <v>0</v>
      </c>
      <c r="BH41" s="1">
        <f t="shared" si="191"/>
        <v>0</v>
      </c>
      <c r="BI41" s="1">
        <f t="shared" si="191"/>
        <v>0</v>
      </c>
      <c r="BJ41" s="1">
        <f t="shared" si="191"/>
        <v>0</v>
      </c>
      <c r="BK41" s="1">
        <f t="shared" si="191"/>
        <v>0</v>
      </c>
      <c r="BL41" s="1">
        <f t="shared" si="191"/>
        <v>0</v>
      </c>
      <c r="BM41" s="1">
        <f t="shared" si="191"/>
        <v>0</v>
      </c>
      <c r="BN41" s="1">
        <f t="shared" si="191"/>
        <v>0</v>
      </c>
      <c r="BO41" s="1">
        <f t="shared" si="191"/>
        <v>0</v>
      </c>
      <c r="BP41" s="1">
        <f t="shared" si="191"/>
        <v>0</v>
      </c>
      <c r="BQ41" s="1">
        <f t="shared" si="191"/>
        <v>0</v>
      </c>
      <c r="BR41" s="1">
        <f t="shared" si="189"/>
        <v>0</v>
      </c>
      <c r="BS41" s="1">
        <f t="shared" ref="BS41:DV41" si="192">+IF($A41="","",IF($D41=BS$15,$B41+IF(MONTH($B$8)-MONTH($B$7)+$E$14=BR$14,$C41,0),0))</f>
        <v>0</v>
      </c>
      <c r="BT41" s="1">
        <f t="shared" si="192"/>
        <v>0</v>
      </c>
      <c r="BU41" s="1">
        <f t="shared" si="192"/>
        <v>0</v>
      </c>
      <c r="BV41" s="1">
        <f t="shared" si="192"/>
        <v>0</v>
      </c>
      <c r="BW41" s="1">
        <f t="shared" si="192"/>
        <v>0</v>
      </c>
      <c r="BX41" s="1">
        <f t="shared" si="192"/>
        <v>0</v>
      </c>
      <c r="BY41" s="1">
        <f t="shared" si="192"/>
        <v>0</v>
      </c>
      <c r="BZ41" s="1">
        <f t="shared" si="192"/>
        <v>0</v>
      </c>
      <c r="CA41" s="1">
        <f t="shared" si="192"/>
        <v>0</v>
      </c>
      <c r="CB41" s="1">
        <f t="shared" si="192"/>
        <v>0</v>
      </c>
      <c r="CC41" s="1">
        <f t="shared" si="192"/>
        <v>0</v>
      </c>
      <c r="CD41" s="1">
        <f t="shared" si="192"/>
        <v>0</v>
      </c>
      <c r="CE41" s="1">
        <f t="shared" si="192"/>
        <v>0</v>
      </c>
      <c r="CF41" s="1">
        <f t="shared" si="192"/>
        <v>0</v>
      </c>
      <c r="CG41" s="1">
        <f t="shared" si="192"/>
        <v>0</v>
      </c>
      <c r="CH41" s="1">
        <f t="shared" si="192"/>
        <v>0</v>
      </c>
      <c r="CI41" s="1">
        <f t="shared" si="192"/>
        <v>0</v>
      </c>
      <c r="CJ41" s="1">
        <f t="shared" si="192"/>
        <v>0</v>
      </c>
      <c r="CK41" s="1">
        <f t="shared" si="192"/>
        <v>0</v>
      </c>
      <c r="CL41" s="1">
        <f t="shared" si="192"/>
        <v>0</v>
      </c>
      <c r="CM41" s="1">
        <f t="shared" si="192"/>
        <v>0</v>
      </c>
      <c r="CN41" s="1">
        <f t="shared" si="192"/>
        <v>0</v>
      </c>
      <c r="CO41" s="1">
        <f t="shared" si="192"/>
        <v>0</v>
      </c>
      <c r="CP41" s="1">
        <f t="shared" si="192"/>
        <v>0</v>
      </c>
      <c r="CQ41" s="1">
        <f t="shared" si="192"/>
        <v>0</v>
      </c>
      <c r="CR41" s="1">
        <f t="shared" si="192"/>
        <v>0</v>
      </c>
      <c r="CS41" s="1">
        <f t="shared" si="192"/>
        <v>0</v>
      </c>
      <c r="CT41" s="1">
        <f t="shared" si="192"/>
        <v>0</v>
      </c>
      <c r="CU41" s="1">
        <f t="shared" si="192"/>
        <v>0</v>
      </c>
      <c r="CV41" s="1">
        <f t="shared" si="192"/>
        <v>0</v>
      </c>
      <c r="CW41" s="1">
        <f t="shared" si="192"/>
        <v>0</v>
      </c>
      <c r="CX41" s="1">
        <f t="shared" si="192"/>
        <v>0</v>
      </c>
      <c r="CY41" s="1">
        <f t="shared" si="192"/>
        <v>0</v>
      </c>
      <c r="CZ41" s="1">
        <f t="shared" si="192"/>
        <v>0</v>
      </c>
      <c r="DA41" s="1">
        <f t="shared" si="192"/>
        <v>0</v>
      </c>
      <c r="DB41" s="1">
        <f t="shared" si="192"/>
        <v>0</v>
      </c>
      <c r="DC41" s="1">
        <f t="shared" si="192"/>
        <v>0</v>
      </c>
      <c r="DD41" s="1">
        <f t="shared" si="192"/>
        <v>0</v>
      </c>
      <c r="DE41" s="1">
        <f t="shared" si="192"/>
        <v>0</v>
      </c>
      <c r="DF41" s="1">
        <f t="shared" si="192"/>
        <v>0</v>
      </c>
      <c r="DG41" s="1">
        <f t="shared" si="192"/>
        <v>0</v>
      </c>
      <c r="DH41" s="1">
        <f t="shared" si="192"/>
        <v>0</v>
      </c>
      <c r="DI41" s="1">
        <f t="shared" si="192"/>
        <v>0</v>
      </c>
      <c r="DJ41" s="1">
        <f t="shared" si="192"/>
        <v>0</v>
      </c>
      <c r="DK41" s="1">
        <f t="shared" si="192"/>
        <v>0</v>
      </c>
      <c r="DL41" s="1">
        <f t="shared" si="192"/>
        <v>0</v>
      </c>
      <c r="DM41" s="1">
        <f t="shared" si="192"/>
        <v>0</v>
      </c>
      <c r="DN41" s="1">
        <f t="shared" si="192"/>
        <v>0</v>
      </c>
      <c r="DO41" s="1">
        <f t="shared" si="192"/>
        <v>0</v>
      </c>
      <c r="DP41" s="1">
        <f t="shared" si="192"/>
        <v>0</v>
      </c>
      <c r="DQ41" s="1">
        <f t="shared" si="192"/>
        <v>0</v>
      </c>
      <c r="DR41" s="1">
        <f t="shared" si="192"/>
        <v>0</v>
      </c>
      <c r="DS41" s="1">
        <f t="shared" si="192"/>
        <v>0</v>
      </c>
      <c r="DT41" s="1">
        <f t="shared" si="192"/>
        <v>0</v>
      </c>
      <c r="DU41" s="1">
        <f t="shared" si="192"/>
        <v>0</v>
      </c>
      <c r="DV41" s="1">
        <f t="shared" si="192"/>
        <v>0</v>
      </c>
    </row>
    <row r="42" spans="1:126" ht="16.5" thickBot="1" x14ac:dyDescent="0.3">
      <c r="A42" s="159" t="s">
        <v>257</v>
      </c>
      <c r="B42" s="160"/>
      <c r="C42" s="161"/>
      <c r="D42" s="35"/>
      <c r="E42" s="35">
        <f t="shared" si="37"/>
        <v>56</v>
      </c>
      <c r="F42" s="1">
        <f t="shared" si="28"/>
        <v>0</v>
      </c>
      <c r="G42" s="1">
        <f t="shared" ref="G42:AL42" si="193">+(IF($A42="","",IF($D42&gt;MONTH(G$16)-MONTH(InicioFuncion)+12*(YEAR(G$16)-YEAR(InicioFuncion))+1,0,IF($E42&lt;=(MONTH(G$16)-MONTH(InicioFuncion)+12*(YEAR(G$16)-YEAR(InicioFuncion)))-$D42,0,IF(G$15&gt;$B$9,0,IF((YEAR($B$8)-YEAR($B$7))*12+(MONTH($B$8)-MONTH($B$7))+$E$14&lt;=F$14,$C42))))*HLOOKUP(YEAR(G$16),$E$3:$O$5,3,0)))</f>
        <v>0</v>
      </c>
      <c r="H42" s="1">
        <f t="shared" si="193"/>
        <v>0</v>
      </c>
      <c r="I42" s="1">
        <f t="shared" si="193"/>
        <v>0</v>
      </c>
      <c r="J42" s="1">
        <f t="shared" si="193"/>
        <v>0</v>
      </c>
      <c r="K42" s="1">
        <f t="shared" si="193"/>
        <v>0</v>
      </c>
      <c r="L42" s="1">
        <f t="shared" si="193"/>
        <v>0</v>
      </c>
      <c r="M42" s="1">
        <f t="shared" si="193"/>
        <v>0</v>
      </c>
      <c r="N42" s="1">
        <f t="shared" si="193"/>
        <v>0</v>
      </c>
      <c r="O42" s="1">
        <f t="shared" si="193"/>
        <v>0</v>
      </c>
      <c r="P42" s="1">
        <f t="shared" si="193"/>
        <v>0</v>
      </c>
      <c r="Q42" s="1">
        <f t="shared" si="193"/>
        <v>0</v>
      </c>
      <c r="R42" s="1">
        <f t="shared" si="193"/>
        <v>0</v>
      </c>
      <c r="S42" s="1">
        <f t="shared" si="193"/>
        <v>0</v>
      </c>
      <c r="T42" s="1">
        <f t="shared" si="193"/>
        <v>0</v>
      </c>
      <c r="U42" s="1">
        <f t="shared" si="193"/>
        <v>0</v>
      </c>
      <c r="V42" s="1">
        <f t="shared" si="193"/>
        <v>0</v>
      </c>
      <c r="W42" s="1">
        <f t="shared" si="193"/>
        <v>0</v>
      </c>
      <c r="X42" s="1">
        <f t="shared" si="193"/>
        <v>0</v>
      </c>
      <c r="Y42" s="1">
        <f t="shared" si="193"/>
        <v>0</v>
      </c>
      <c r="Z42" s="1">
        <f t="shared" si="193"/>
        <v>0</v>
      </c>
      <c r="AA42" s="1">
        <f t="shared" si="193"/>
        <v>0</v>
      </c>
      <c r="AB42" s="1">
        <f t="shared" si="193"/>
        <v>0</v>
      </c>
      <c r="AC42" s="1">
        <f t="shared" si="193"/>
        <v>0</v>
      </c>
      <c r="AD42" s="1">
        <f t="shared" si="193"/>
        <v>0</v>
      </c>
      <c r="AE42" s="1">
        <f t="shared" si="193"/>
        <v>0</v>
      </c>
      <c r="AF42" s="1">
        <f t="shared" si="193"/>
        <v>0</v>
      </c>
      <c r="AG42" s="1">
        <f t="shared" si="193"/>
        <v>0</v>
      </c>
      <c r="AH42" s="1">
        <f t="shared" si="193"/>
        <v>0</v>
      </c>
      <c r="AI42" s="1">
        <f t="shared" si="193"/>
        <v>0</v>
      </c>
      <c r="AJ42" s="1">
        <f t="shared" si="193"/>
        <v>0</v>
      </c>
      <c r="AK42" s="1">
        <f t="shared" si="193"/>
        <v>0</v>
      </c>
      <c r="AL42" s="1">
        <f t="shared" si="193"/>
        <v>0</v>
      </c>
      <c r="AM42" s="1">
        <f t="shared" ref="AM42:BR42" si="194">+(IF($A42="","",IF($D42&gt;MONTH(AM$16)-MONTH(InicioFuncion)+12*(YEAR(AM$16)-YEAR(InicioFuncion))+1,0,IF($E42&lt;=(MONTH(AM$16)-MONTH(InicioFuncion)+12*(YEAR(AM$16)-YEAR(InicioFuncion)))-$D42,0,IF(AM$15&gt;$B$9,0,IF((YEAR($B$8)-YEAR($B$7))*12+(MONTH($B$8)-MONTH($B$7))+$E$14&lt;=AL$14,$C42))))*HLOOKUP(YEAR(AM$16),$E$3:$O$5,3,0)))</f>
        <v>0</v>
      </c>
      <c r="AN42" s="1">
        <f t="shared" si="194"/>
        <v>0</v>
      </c>
      <c r="AO42" s="1">
        <f t="shared" si="194"/>
        <v>0</v>
      </c>
      <c r="AP42" s="1">
        <f t="shared" si="194"/>
        <v>0</v>
      </c>
      <c r="AQ42" s="1">
        <f t="shared" si="194"/>
        <v>0</v>
      </c>
      <c r="AR42" s="1">
        <f t="shared" si="194"/>
        <v>0</v>
      </c>
      <c r="AS42" s="1">
        <f t="shared" si="194"/>
        <v>0</v>
      </c>
      <c r="AT42" s="1">
        <f t="shared" si="194"/>
        <v>0</v>
      </c>
      <c r="AU42" s="1">
        <f t="shared" si="194"/>
        <v>0</v>
      </c>
      <c r="AV42" s="1">
        <f t="shared" si="194"/>
        <v>0</v>
      </c>
      <c r="AW42" s="1">
        <f t="shared" si="194"/>
        <v>0</v>
      </c>
      <c r="AX42" s="1">
        <f t="shared" si="194"/>
        <v>0</v>
      </c>
      <c r="AY42" s="1">
        <f t="shared" si="194"/>
        <v>0</v>
      </c>
      <c r="AZ42" s="1">
        <f t="shared" si="194"/>
        <v>0</v>
      </c>
      <c r="BA42" s="1">
        <f t="shared" si="194"/>
        <v>0</v>
      </c>
      <c r="BB42" s="1">
        <f t="shared" si="194"/>
        <v>0</v>
      </c>
      <c r="BC42" s="1">
        <f t="shared" si="194"/>
        <v>0</v>
      </c>
      <c r="BD42" s="1">
        <f t="shared" si="194"/>
        <v>0</v>
      </c>
      <c r="BE42" s="1">
        <f t="shared" si="194"/>
        <v>0</v>
      </c>
      <c r="BF42" s="1">
        <f t="shared" si="194"/>
        <v>0</v>
      </c>
      <c r="BG42" s="1">
        <f t="shared" si="194"/>
        <v>0</v>
      </c>
      <c r="BH42" s="1">
        <f t="shared" si="194"/>
        <v>0</v>
      </c>
      <c r="BI42" s="1">
        <f t="shared" si="194"/>
        <v>0</v>
      </c>
      <c r="BJ42" s="1">
        <f t="shared" si="194"/>
        <v>0</v>
      </c>
      <c r="BK42" s="1">
        <f t="shared" si="194"/>
        <v>0</v>
      </c>
      <c r="BL42" s="1">
        <f t="shared" si="194"/>
        <v>0</v>
      </c>
      <c r="BM42" s="1">
        <f t="shared" si="194"/>
        <v>0</v>
      </c>
      <c r="BN42" s="1">
        <f t="shared" si="194"/>
        <v>0</v>
      </c>
      <c r="BO42" s="1">
        <f t="shared" si="194"/>
        <v>0</v>
      </c>
      <c r="BP42" s="1">
        <f t="shared" si="194"/>
        <v>0</v>
      </c>
      <c r="BQ42" s="1">
        <f t="shared" si="194"/>
        <v>0</v>
      </c>
      <c r="BR42" s="1">
        <f t="shared" si="194"/>
        <v>0</v>
      </c>
      <c r="BS42" s="1">
        <f t="shared" ref="BS42:CX42" si="195">+(IF($A42="","",IF($D42&gt;MONTH(BS$16)-MONTH(InicioFuncion)+12*(YEAR(BS$16)-YEAR(InicioFuncion))+1,0,IF($E42&lt;=(MONTH(BS$16)-MONTH(InicioFuncion)+12*(YEAR(BS$16)-YEAR(InicioFuncion)))-$D42,0,IF(BS$15&gt;$B$9,0,IF((YEAR($B$8)-YEAR($B$7))*12+(MONTH($B$8)-MONTH($B$7))+$E$14&lt;=BR$14,$C42))))*HLOOKUP(YEAR(BS$16),$E$3:$O$5,3,0)))</f>
        <v>0</v>
      </c>
      <c r="BT42" s="1">
        <f t="shared" si="195"/>
        <v>0</v>
      </c>
      <c r="BU42" s="1">
        <f t="shared" si="195"/>
        <v>0</v>
      </c>
      <c r="BV42" s="1">
        <f t="shared" si="195"/>
        <v>0</v>
      </c>
      <c r="BW42" s="1">
        <f t="shared" si="195"/>
        <v>0</v>
      </c>
      <c r="BX42" s="1">
        <f t="shared" si="195"/>
        <v>0</v>
      </c>
      <c r="BY42" s="1">
        <f t="shared" si="195"/>
        <v>0</v>
      </c>
      <c r="BZ42" s="1">
        <f t="shared" si="195"/>
        <v>0</v>
      </c>
      <c r="CA42" s="1">
        <f t="shared" si="195"/>
        <v>0</v>
      </c>
      <c r="CB42" s="1">
        <f t="shared" si="195"/>
        <v>0</v>
      </c>
      <c r="CC42" s="1">
        <f t="shared" si="195"/>
        <v>0</v>
      </c>
      <c r="CD42" s="1">
        <f t="shared" si="195"/>
        <v>0</v>
      </c>
      <c r="CE42" s="1">
        <f t="shared" si="195"/>
        <v>0</v>
      </c>
      <c r="CF42" s="1">
        <f t="shared" si="195"/>
        <v>0</v>
      </c>
      <c r="CG42" s="1">
        <f t="shared" si="195"/>
        <v>0</v>
      </c>
      <c r="CH42" s="1">
        <f t="shared" si="195"/>
        <v>0</v>
      </c>
      <c r="CI42" s="1">
        <f t="shared" si="195"/>
        <v>0</v>
      </c>
      <c r="CJ42" s="1">
        <f t="shared" si="195"/>
        <v>0</v>
      </c>
      <c r="CK42" s="1">
        <f t="shared" si="195"/>
        <v>0</v>
      </c>
      <c r="CL42" s="1">
        <f t="shared" si="195"/>
        <v>0</v>
      </c>
      <c r="CM42" s="1">
        <f t="shared" si="195"/>
        <v>0</v>
      </c>
      <c r="CN42" s="1">
        <f t="shared" si="195"/>
        <v>0</v>
      </c>
      <c r="CO42" s="1">
        <f t="shared" si="195"/>
        <v>0</v>
      </c>
      <c r="CP42" s="1">
        <f t="shared" si="195"/>
        <v>0</v>
      </c>
      <c r="CQ42" s="1">
        <f t="shared" si="195"/>
        <v>0</v>
      </c>
      <c r="CR42" s="1">
        <f t="shared" si="195"/>
        <v>0</v>
      </c>
      <c r="CS42" s="1">
        <f t="shared" si="195"/>
        <v>0</v>
      </c>
      <c r="CT42" s="1">
        <f t="shared" si="195"/>
        <v>0</v>
      </c>
      <c r="CU42" s="1">
        <f t="shared" si="195"/>
        <v>0</v>
      </c>
      <c r="CV42" s="1">
        <f t="shared" si="195"/>
        <v>0</v>
      </c>
      <c r="CW42" s="1">
        <f t="shared" si="195"/>
        <v>0</v>
      </c>
      <c r="CX42" s="1">
        <f t="shared" si="195"/>
        <v>0</v>
      </c>
      <c r="CY42" s="1">
        <f t="shared" ref="CY42:DV42" si="196">+(IF($A42="","",IF($D42&gt;MONTH(CY$16)-MONTH(InicioFuncion)+12*(YEAR(CY$16)-YEAR(InicioFuncion))+1,0,IF($E42&lt;=(MONTH(CY$16)-MONTH(InicioFuncion)+12*(YEAR(CY$16)-YEAR(InicioFuncion)))-$D42,0,IF(CY$15&gt;$B$9,0,IF((YEAR($B$8)-YEAR($B$7))*12+(MONTH($B$8)-MONTH($B$7))+$E$14&lt;=CX$14,$C42))))*HLOOKUP(YEAR(CY$16),$E$3:$O$5,3,0)))</f>
        <v>0</v>
      </c>
      <c r="CZ42" s="1">
        <f t="shared" si="196"/>
        <v>0</v>
      </c>
      <c r="DA42" s="1">
        <f t="shared" si="196"/>
        <v>0</v>
      </c>
      <c r="DB42" s="1">
        <f t="shared" si="196"/>
        <v>0</v>
      </c>
      <c r="DC42" s="1">
        <f t="shared" si="196"/>
        <v>0</v>
      </c>
      <c r="DD42" s="1">
        <f t="shared" si="196"/>
        <v>0</v>
      </c>
      <c r="DE42" s="1">
        <f t="shared" si="196"/>
        <v>0</v>
      </c>
      <c r="DF42" s="1">
        <f t="shared" si="196"/>
        <v>0</v>
      </c>
      <c r="DG42" s="1">
        <f t="shared" si="196"/>
        <v>0</v>
      </c>
      <c r="DH42" s="1">
        <f t="shared" si="196"/>
        <v>0</v>
      </c>
      <c r="DI42" s="1">
        <f t="shared" si="196"/>
        <v>0</v>
      </c>
      <c r="DJ42" s="1">
        <f t="shared" si="196"/>
        <v>0</v>
      </c>
      <c r="DK42" s="1">
        <f t="shared" si="196"/>
        <v>0</v>
      </c>
      <c r="DL42" s="1">
        <f t="shared" si="196"/>
        <v>0</v>
      </c>
      <c r="DM42" s="1">
        <f t="shared" si="196"/>
        <v>0</v>
      </c>
      <c r="DN42" s="1">
        <f t="shared" si="196"/>
        <v>0</v>
      </c>
      <c r="DO42" s="1">
        <f t="shared" si="196"/>
        <v>0</v>
      </c>
      <c r="DP42" s="1">
        <f t="shared" si="196"/>
        <v>0</v>
      </c>
      <c r="DQ42" s="1">
        <f t="shared" si="196"/>
        <v>0</v>
      </c>
      <c r="DR42" s="1">
        <f t="shared" si="196"/>
        <v>0</v>
      </c>
      <c r="DS42" s="1">
        <f t="shared" si="196"/>
        <v>0</v>
      </c>
      <c r="DT42" s="1">
        <f t="shared" si="196"/>
        <v>0</v>
      </c>
      <c r="DU42" s="1">
        <f t="shared" si="196"/>
        <v>0</v>
      </c>
      <c r="DV42" s="1">
        <f t="shared" si="196"/>
        <v>0</v>
      </c>
    </row>
    <row r="43" spans="1:126" x14ac:dyDescent="0.25">
      <c r="A43" s="26" t="s">
        <v>4</v>
      </c>
      <c r="B43" s="26"/>
      <c r="C43" s="36">
        <f>+SUMIFS(ValoresMercado,Conceptos,A43,Tipo,TipoEspecifico,Relacion,'Parametros tecnológicos'!$F$7)</f>
        <v>7067789.5</v>
      </c>
      <c r="D43" s="35"/>
      <c r="E43" s="35">
        <f t="shared" si="37"/>
        <v>56</v>
      </c>
      <c r="F43" s="1">
        <f t="shared" si="28"/>
        <v>0</v>
      </c>
      <c r="G43" s="1">
        <f t="shared" ref="G43:AL43" si="197">+(IF($A43="","",IF($D43&gt;MONTH(G$16)-MONTH(InicioFuncion)+12*(YEAR(G$16)-YEAR(InicioFuncion))+1,0,IF($E43&lt;=(MONTH(G$16)-MONTH(InicioFuncion)+12*(YEAR(G$16)-YEAR(InicioFuncion)))-$D43+IF($D43&lt;&gt;"",1,0),0,IF(G$15&gt;$B$9,0,IF((YEAR($B$8)-YEAR($B$7))*12+(MONTH($B$8)-MONTH($B$7))+$E$14&lt;=F$14,$C43))))*HLOOKUP(YEAR(G$16),$E$3:$O$5,3,0)))</f>
        <v>0</v>
      </c>
      <c r="H43" s="1">
        <f t="shared" si="197"/>
        <v>7067789.5</v>
      </c>
      <c r="I43" s="1">
        <f t="shared" si="197"/>
        <v>7067789.5</v>
      </c>
      <c r="J43" s="1">
        <f t="shared" si="197"/>
        <v>7067789.5</v>
      </c>
      <c r="K43" s="1">
        <f t="shared" si="197"/>
        <v>7067789.5</v>
      </c>
      <c r="L43" s="1">
        <f t="shared" si="197"/>
        <v>7067789.5</v>
      </c>
      <c r="M43" s="1">
        <f t="shared" si="197"/>
        <v>7067789.5</v>
      </c>
      <c r="N43" s="1">
        <f t="shared" si="197"/>
        <v>7279823.1850000005</v>
      </c>
      <c r="O43" s="1">
        <f t="shared" si="197"/>
        <v>7279823.1850000005</v>
      </c>
      <c r="P43" s="1">
        <f t="shared" si="197"/>
        <v>7279823.1850000005</v>
      </c>
      <c r="Q43" s="1">
        <f t="shared" si="197"/>
        <v>7279823.1850000005</v>
      </c>
      <c r="R43" s="1">
        <f t="shared" si="197"/>
        <v>7279823.1850000005</v>
      </c>
      <c r="S43" s="1">
        <f t="shared" si="197"/>
        <v>7279823.1850000005</v>
      </c>
      <c r="T43" s="1">
        <f t="shared" si="197"/>
        <v>7279823.1850000005</v>
      </c>
      <c r="U43" s="1">
        <f t="shared" si="197"/>
        <v>7279823.1850000005</v>
      </c>
      <c r="V43" s="1">
        <f t="shared" si="197"/>
        <v>7279823.1850000005</v>
      </c>
      <c r="W43" s="1">
        <f t="shared" si="197"/>
        <v>7279823.1850000005</v>
      </c>
      <c r="X43" s="1">
        <f t="shared" si="197"/>
        <v>7279823.1850000005</v>
      </c>
      <c r="Y43" s="1">
        <f t="shared" si="197"/>
        <v>7279823.1850000005</v>
      </c>
      <c r="Z43" s="1">
        <f t="shared" si="197"/>
        <v>7498217.8805499999</v>
      </c>
      <c r="AA43" s="1">
        <f t="shared" si="197"/>
        <v>7498217.8805499999</v>
      </c>
      <c r="AB43" s="1">
        <f t="shared" si="197"/>
        <v>7498217.8805499999</v>
      </c>
      <c r="AC43" s="1">
        <f t="shared" si="197"/>
        <v>7498217.8805499999</v>
      </c>
      <c r="AD43" s="1">
        <f t="shared" si="197"/>
        <v>7498217.8805499999</v>
      </c>
      <c r="AE43" s="1">
        <f t="shared" si="197"/>
        <v>7498217.8805499999</v>
      </c>
      <c r="AF43" s="1">
        <f t="shared" si="197"/>
        <v>7498217.8805499999</v>
      </c>
      <c r="AG43" s="1">
        <f t="shared" si="197"/>
        <v>7498217.8805499999</v>
      </c>
      <c r="AH43" s="1">
        <f t="shared" si="197"/>
        <v>7498217.8805499999</v>
      </c>
      <c r="AI43" s="1">
        <f t="shared" si="197"/>
        <v>7498217.8805499999</v>
      </c>
      <c r="AJ43" s="1">
        <f t="shared" si="197"/>
        <v>7498217.8805499999</v>
      </c>
      <c r="AK43" s="1">
        <f t="shared" si="197"/>
        <v>7498217.8805499999</v>
      </c>
      <c r="AL43" s="1">
        <f t="shared" si="197"/>
        <v>7723164.4169664998</v>
      </c>
      <c r="AM43" s="1">
        <f t="shared" ref="AM43:BR43" si="198">+(IF($A43="","",IF($D43&gt;MONTH(AM$16)-MONTH(InicioFuncion)+12*(YEAR(AM$16)-YEAR(InicioFuncion))+1,0,IF($E43&lt;=(MONTH(AM$16)-MONTH(InicioFuncion)+12*(YEAR(AM$16)-YEAR(InicioFuncion)))-$D43+IF($D43&lt;&gt;"",1,0),0,IF(AM$15&gt;$B$9,0,IF((YEAR($B$8)-YEAR($B$7))*12+(MONTH($B$8)-MONTH($B$7))+$E$14&lt;=AL$14,$C43))))*HLOOKUP(YEAR(AM$16),$E$3:$O$5,3,0)))</f>
        <v>7723164.4169664998</v>
      </c>
      <c r="AN43" s="1">
        <f t="shared" si="198"/>
        <v>7723164.4169664998</v>
      </c>
      <c r="AO43" s="1">
        <f t="shared" si="198"/>
        <v>7723164.4169664998</v>
      </c>
      <c r="AP43" s="1">
        <f t="shared" si="198"/>
        <v>7723164.4169664998</v>
      </c>
      <c r="AQ43" s="1">
        <f t="shared" si="198"/>
        <v>7723164.4169664998</v>
      </c>
      <c r="AR43" s="1">
        <f t="shared" si="198"/>
        <v>7723164.4169664998</v>
      </c>
      <c r="AS43" s="1">
        <f t="shared" si="198"/>
        <v>7723164.4169664998</v>
      </c>
      <c r="AT43" s="1">
        <f t="shared" si="198"/>
        <v>7723164.4169664998</v>
      </c>
      <c r="AU43" s="1">
        <f t="shared" si="198"/>
        <v>7723164.4169664998</v>
      </c>
      <c r="AV43" s="1">
        <f t="shared" si="198"/>
        <v>7723164.4169664998</v>
      </c>
      <c r="AW43" s="1">
        <f t="shared" si="198"/>
        <v>7723164.4169664998</v>
      </c>
      <c r="AX43" s="1">
        <f t="shared" si="198"/>
        <v>7954859.3494754955</v>
      </c>
      <c r="AY43" s="1">
        <f t="shared" si="198"/>
        <v>7954859.3494754955</v>
      </c>
      <c r="AZ43" s="1">
        <f t="shared" si="198"/>
        <v>7954859.3494754955</v>
      </c>
      <c r="BA43" s="1">
        <f t="shared" si="198"/>
        <v>7954859.3494754955</v>
      </c>
      <c r="BB43" s="1">
        <f t="shared" si="198"/>
        <v>7954859.3494754955</v>
      </c>
      <c r="BC43" s="1">
        <f t="shared" si="198"/>
        <v>7954859.3494754955</v>
      </c>
      <c r="BD43" s="1">
        <f t="shared" si="198"/>
        <v>7954859.3494754955</v>
      </c>
      <c r="BE43" s="1">
        <f t="shared" si="198"/>
        <v>7954859.3494754955</v>
      </c>
      <c r="BF43" s="1">
        <f t="shared" si="198"/>
        <v>7954859.3494754955</v>
      </c>
      <c r="BG43" s="1">
        <f t="shared" si="198"/>
        <v>7954859.3494754955</v>
      </c>
      <c r="BH43" s="1">
        <f t="shared" si="198"/>
        <v>7954859.3494754955</v>
      </c>
      <c r="BI43" s="1">
        <f t="shared" si="198"/>
        <v>7954859.3494754955</v>
      </c>
      <c r="BJ43" s="1">
        <f t="shared" si="198"/>
        <v>8193505.1299597602</v>
      </c>
      <c r="BK43" s="1">
        <f t="shared" si="198"/>
        <v>0</v>
      </c>
      <c r="BL43" s="1">
        <f t="shared" si="198"/>
        <v>0</v>
      </c>
      <c r="BM43" s="1">
        <f t="shared" si="198"/>
        <v>0</v>
      </c>
      <c r="BN43" s="1">
        <f t="shared" si="198"/>
        <v>0</v>
      </c>
      <c r="BO43" s="1">
        <f t="shared" si="198"/>
        <v>0</v>
      </c>
      <c r="BP43" s="1">
        <f t="shared" si="198"/>
        <v>0</v>
      </c>
      <c r="BQ43" s="1">
        <f t="shared" si="198"/>
        <v>0</v>
      </c>
      <c r="BR43" s="1">
        <f t="shared" si="198"/>
        <v>0</v>
      </c>
      <c r="BS43" s="1">
        <f t="shared" ref="BS43:CX43" si="199">+(IF($A43="","",IF($D43&gt;MONTH(BS$16)-MONTH(InicioFuncion)+12*(YEAR(BS$16)-YEAR(InicioFuncion))+1,0,IF($E43&lt;=(MONTH(BS$16)-MONTH(InicioFuncion)+12*(YEAR(BS$16)-YEAR(InicioFuncion)))-$D43+IF($D43&lt;&gt;"",1,0),0,IF(BS$15&gt;$B$9,0,IF((YEAR($B$8)-YEAR($B$7))*12+(MONTH($B$8)-MONTH($B$7))+$E$14&lt;=BR$14,$C43))))*HLOOKUP(YEAR(BS$16),$E$3:$O$5,3,0)))</f>
        <v>0</v>
      </c>
      <c r="BT43" s="1">
        <f t="shared" si="199"/>
        <v>0</v>
      </c>
      <c r="BU43" s="1">
        <f t="shared" si="199"/>
        <v>0</v>
      </c>
      <c r="BV43" s="1">
        <f t="shared" si="199"/>
        <v>0</v>
      </c>
      <c r="BW43" s="1">
        <f t="shared" si="199"/>
        <v>0</v>
      </c>
      <c r="BX43" s="1">
        <f t="shared" si="199"/>
        <v>0</v>
      </c>
      <c r="BY43" s="1">
        <f t="shared" si="199"/>
        <v>0</v>
      </c>
      <c r="BZ43" s="1">
        <f t="shared" si="199"/>
        <v>0</v>
      </c>
      <c r="CA43" s="1">
        <f t="shared" si="199"/>
        <v>0</v>
      </c>
      <c r="CB43" s="1">
        <f t="shared" si="199"/>
        <v>0</v>
      </c>
      <c r="CC43" s="1">
        <f t="shared" si="199"/>
        <v>0</v>
      </c>
      <c r="CD43" s="1">
        <f t="shared" si="199"/>
        <v>0</v>
      </c>
      <c r="CE43" s="1">
        <f t="shared" si="199"/>
        <v>0</v>
      </c>
      <c r="CF43" s="1">
        <f t="shared" si="199"/>
        <v>0</v>
      </c>
      <c r="CG43" s="1">
        <f t="shared" si="199"/>
        <v>0</v>
      </c>
      <c r="CH43" s="1">
        <f t="shared" si="199"/>
        <v>0</v>
      </c>
      <c r="CI43" s="1">
        <f t="shared" si="199"/>
        <v>0</v>
      </c>
      <c r="CJ43" s="1">
        <f t="shared" si="199"/>
        <v>0</v>
      </c>
      <c r="CK43" s="1">
        <f t="shared" si="199"/>
        <v>0</v>
      </c>
      <c r="CL43" s="1">
        <f t="shared" si="199"/>
        <v>0</v>
      </c>
      <c r="CM43" s="1">
        <f t="shared" si="199"/>
        <v>0</v>
      </c>
      <c r="CN43" s="1">
        <f t="shared" si="199"/>
        <v>0</v>
      </c>
      <c r="CO43" s="1">
        <f t="shared" si="199"/>
        <v>0</v>
      </c>
      <c r="CP43" s="1">
        <f t="shared" si="199"/>
        <v>0</v>
      </c>
      <c r="CQ43" s="1">
        <f t="shared" si="199"/>
        <v>0</v>
      </c>
      <c r="CR43" s="1">
        <f t="shared" si="199"/>
        <v>0</v>
      </c>
      <c r="CS43" s="1">
        <f t="shared" si="199"/>
        <v>0</v>
      </c>
      <c r="CT43" s="1">
        <f t="shared" si="199"/>
        <v>0</v>
      </c>
      <c r="CU43" s="1">
        <f t="shared" si="199"/>
        <v>0</v>
      </c>
      <c r="CV43" s="1">
        <f t="shared" si="199"/>
        <v>0</v>
      </c>
      <c r="CW43" s="1">
        <f t="shared" si="199"/>
        <v>0</v>
      </c>
      <c r="CX43" s="1">
        <f t="shared" si="199"/>
        <v>0</v>
      </c>
      <c r="CY43" s="1">
        <f t="shared" ref="CY43:DV43" si="200">+(IF($A43="","",IF($D43&gt;MONTH(CY$16)-MONTH(InicioFuncion)+12*(YEAR(CY$16)-YEAR(InicioFuncion))+1,0,IF($E43&lt;=(MONTH(CY$16)-MONTH(InicioFuncion)+12*(YEAR(CY$16)-YEAR(InicioFuncion)))-$D43+IF($D43&lt;&gt;"",1,0),0,IF(CY$15&gt;$B$9,0,IF((YEAR($B$8)-YEAR($B$7))*12+(MONTH($B$8)-MONTH($B$7))+$E$14&lt;=CX$14,$C43))))*HLOOKUP(YEAR(CY$16),$E$3:$O$5,3,0)))</f>
        <v>0</v>
      </c>
      <c r="CZ43" s="1">
        <f t="shared" si="200"/>
        <v>0</v>
      </c>
      <c r="DA43" s="1">
        <f t="shared" si="200"/>
        <v>0</v>
      </c>
      <c r="DB43" s="1">
        <f t="shared" si="200"/>
        <v>0</v>
      </c>
      <c r="DC43" s="1">
        <f t="shared" si="200"/>
        <v>0</v>
      </c>
      <c r="DD43" s="1">
        <f t="shared" si="200"/>
        <v>0</v>
      </c>
      <c r="DE43" s="1">
        <f t="shared" si="200"/>
        <v>0</v>
      </c>
      <c r="DF43" s="1">
        <f t="shared" si="200"/>
        <v>0</v>
      </c>
      <c r="DG43" s="1">
        <f t="shared" si="200"/>
        <v>0</v>
      </c>
      <c r="DH43" s="1">
        <f t="shared" si="200"/>
        <v>0</v>
      </c>
      <c r="DI43" s="1">
        <f t="shared" si="200"/>
        <v>0</v>
      </c>
      <c r="DJ43" s="1">
        <f t="shared" si="200"/>
        <v>0</v>
      </c>
      <c r="DK43" s="1">
        <f t="shared" si="200"/>
        <v>0</v>
      </c>
      <c r="DL43" s="1">
        <f t="shared" si="200"/>
        <v>0</v>
      </c>
      <c r="DM43" s="1">
        <f t="shared" si="200"/>
        <v>0</v>
      </c>
      <c r="DN43" s="1">
        <f t="shared" si="200"/>
        <v>0</v>
      </c>
      <c r="DO43" s="1">
        <f t="shared" si="200"/>
        <v>0</v>
      </c>
      <c r="DP43" s="1">
        <f t="shared" si="200"/>
        <v>0</v>
      </c>
      <c r="DQ43" s="1">
        <f t="shared" si="200"/>
        <v>0</v>
      </c>
      <c r="DR43" s="1">
        <f t="shared" si="200"/>
        <v>0</v>
      </c>
      <c r="DS43" s="1">
        <f t="shared" si="200"/>
        <v>0</v>
      </c>
      <c r="DT43" s="1">
        <f t="shared" si="200"/>
        <v>0</v>
      </c>
      <c r="DU43" s="1">
        <f t="shared" si="200"/>
        <v>0</v>
      </c>
      <c r="DV43" s="1">
        <f t="shared" si="200"/>
        <v>0</v>
      </c>
    </row>
    <row r="44" spans="1:126" x14ac:dyDescent="0.25">
      <c r="A44" s="26" t="s">
        <v>251</v>
      </c>
      <c r="B44" s="36">
        <f>+SUMIFS(ValoresMercado,Conceptos,A44,Relacion,'Parametros tecnológicos'!$F$7,Tipo,TipoEspecifico)</f>
        <v>6329992.5</v>
      </c>
      <c r="C44" s="26"/>
      <c r="D44" s="35"/>
      <c r="E44" s="35">
        <f t="shared" si="37"/>
        <v>56</v>
      </c>
      <c r="F44" s="1">
        <f t="shared" ref="F44:BQ46" si="201">+IF($A44="","",IF($D44=F$15,$B44+IF(MONTH($B$8)-MONTH($B$7)+$E$14=E$14,$C44,0),0))</f>
        <v>6329992.5</v>
      </c>
      <c r="G44" s="1">
        <f t="shared" si="201"/>
        <v>0</v>
      </c>
      <c r="H44" s="1">
        <f t="shared" si="201"/>
        <v>0</v>
      </c>
      <c r="I44" s="1">
        <f t="shared" si="201"/>
        <v>0</v>
      </c>
      <c r="J44" s="1">
        <f t="shared" si="201"/>
        <v>0</v>
      </c>
      <c r="K44" s="1">
        <f t="shared" si="201"/>
        <v>0</v>
      </c>
      <c r="L44" s="1">
        <f t="shared" si="201"/>
        <v>0</v>
      </c>
      <c r="M44" s="1">
        <f t="shared" si="201"/>
        <v>0</v>
      </c>
      <c r="N44" s="1">
        <f t="shared" si="201"/>
        <v>0</v>
      </c>
      <c r="O44" s="1">
        <f t="shared" si="201"/>
        <v>0</v>
      </c>
      <c r="P44" s="1">
        <f t="shared" si="201"/>
        <v>0</v>
      </c>
      <c r="Q44" s="1">
        <f t="shared" si="201"/>
        <v>0</v>
      </c>
      <c r="R44" s="1">
        <f t="shared" si="201"/>
        <v>0</v>
      </c>
      <c r="S44" s="1">
        <f t="shared" si="201"/>
        <v>0</v>
      </c>
      <c r="T44" s="1">
        <f t="shared" si="201"/>
        <v>0</v>
      </c>
      <c r="U44" s="1">
        <f t="shared" si="201"/>
        <v>0</v>
      </c>
      <c r="V44" s="1">
        <f t="shared" si="201"/>
        <v>0</v>
      </c>
      <c r="W44" s="1">
        <f t="shared" si="201"/>
        <v>0</v>
      </c>
      <c r="X44" s="1">
        <f t="shared" si="201"/>
        <v>0</v>
      </c>
      <c r="Y44" s="1">
        <f t="shared" si="201"/>
        <v>0</v>
      </c>
      <c r="Z44" s="1">
        <f t="shared" si="201"/>
        <v>0</v>
      </c>
      <c r="AA44" s="1">
        <f t="shared" si="201"/>
        <v>0</v>
      </c>
      <c r="AB44" s="1">
        <f t="shared" si="201"/>
        <v>0</v>
      </c>
      <c r="AC44" s="1">
        <f t="shared" si="201"/>
        <v>0</v>
      </c>
      <c r="AD44" s="1">
        <f t="shared" si="201"/>
        <v>0</v>
      </c>
      <c r="AE44" s="1">
        <f t="shared" si="201"/>
        <v>0</v>
      </c>
      <c r="AF44" s="1">
        <f t="shared" si="201"/>
        <v>0</v>
      </c>
      <c r="AG44" s="1">
        <f t="shared" si="201"/>
        <v>0</v>
      </c>
      <c r="AH44" s="1">
        <f t="shared" si="201"/>
        <v>0</v>
      </c>
      <c r="AI44" s="1">
        <f t="shared" si="201"/>
        <v>0</v>
      </c>
      <c r="AJ44" s="1">
        <f t="shared" si="201"/>
        <v>0</v>
      </c>
      <c r="AK44" s="1">
        <f t="shared" si="201"/>
        <v>0</v>
      </c>
      <c r="AL44" s="1">
        <f t="shared" si="201"/>
        <v>0</v>
      </c>
      <c r="AM44" s="1">
        <f t="shared" si="201"/>
        <v>0</v>
      </c>
      <c r="AN44" s="1">
        <f t="shared" si="201"/>
        <v>0</v>
      </c>
      <c r="AO44" s="1">
        <f t="shared" si="201"/>
        <v>0</v>
      </c>
      <c r="AP44" s="1">
        <f t="shared" si="201"/>
        <v>0</v>
      </c>
      <c r="AQ44" s="1">
        <f t="shared" si="201"/>
        <v>0</v>
      </c>
      <c r="AR44" s="1">
        <f t="shared" si="201"/>
        <v>0</v>
      </c>
      <c r="AS44" s="1">
        <f t="shared" si="201"/>
        <v>0</v>
      </c>
      <c r="AT44" s="1">
        <f t="shared" si="201"/>
        <v>0</v>
      </c>
      <c r="AU44" s="1">
        <f t="shared" si="201"/>
        <v>0</v>
      </c>
      <c r="AV44" s="1">
        <f t="shared" si="201"/>
        <v>0</v>
      </c>
      <c r="AW44" s="1">
        <f t="shared" si="201"/>
        <v>0</v>
      </c>
      <c r="AX44" s="1">
        <f t="shared" si="201"/>
        <v>0</v>
      </c>
      <c r="AY44" s="1">
        <f t="shared" si="201"/>
        <v>0</v>
      </c>
      <c r="AZ44" s="1">
        <f t="shared" si="201"/>
        <v>0</v>
      </c>
      <c r="BA44" s="1">
        <f t="shared" si="201"/>
        <v>0</v>
      </c>
      <c r="BB44" s="1">
        <f t="shared" si="201"/>
        <v>0</v>
      </c>
      <c r="BC44" s="1">
        <f t="shared" si="201"/>
        <v>0</v>
      </c>
      <c r="BD44" s="1">
        <f t="shared" si="201"/>
        <v>0</v>
      </c>
      <c r="BE44" s="1">
        <f t="shared" si="201"/>
        <v>0</v>
      </c>
      <c r="BF44" s="1">
        <f t="shared" si="201"/>
        <v>0</v>
      </c>
      <c r="BG44" s="1">
        <f t="shared" si="201"/>
        <v>0</v>
      </c>
      <c r="BH44" s="1">
        <f t="shared" si="201"/>
        <v>0</v>
      </c>
      <c r="BI44" s="1">
        <f t="shared" si="201"/>
        <v>0</v>
      </c>
      <c r="BJ44" s="1">
        <f t="shared" si="201"/>
        <v>0</v>
      </c>
      <c r="BK44" s="1">
        <f t="shared" si="201"/>
        <v>0</v>
      </c>
      <c r="BL44" s="1">
        <f t="shared" si="201"/>
        <v>0</v>
      </c>
      <c r="BM44" s="1">
        <f t="shared" si="201"/>
        <v>0</v>
      </c>
      <c r="BN44" s="1">
        <f t="shared" si="201"/>
        <v>0</v>
      </c>
      <c r="BO44" s="1">
        <f t="shared" si="201"/>
        <v>0</v>
      </c>
      <c r="BP44" s="1">
        <f t="shared" si="201"/>
        <v>0</v>
      </c>
      <c r="BQ44" s="1">
        <f t="shared" si="201"/>
        <v>0</v>
      </c>
      <c r="BR44" s="1">
        <f t="shared" ref="BR44:DV46" si="202">+IF($A44="","",IF($D44=BR$15,$B44+IF(MONTH($B$8)-MONTH($B$7)+$E$14=BQ$14,$C44,0),0))</f>
        <v>0</v>
      </c>
      <c r="BS44" s="1">
        <f t="shared" si="202"/>
        <v>0</v>
      </c>
      <c r="BT44" s="1">
        <f t="shared" si="202"/>
        <v>0</v>
      </c>
      <c r="BU44" s="1">
        <f t="shared" si="202"/>
        <v>0</v>
      </c>
      <c r="BV44" s="1">
        <f t="shared" si="202"/>
        <v>0</v>
      </c>
      <c r="BW44" s="1">
        <f t="shared" si="202"/>
        <v>0</v>
      </c>
      <c r="BX44" s="1">
        <f t="shared" si="202"/>
        <v>0</v>
      </c>
      <c r="BY44" s="1">
        <f t="shared" si="202"/>
        <v>0</v>
      </c>
      <c r="BZ44" s="1">
        <f t="shared" si="202"/>
        <v>0</v>
      </c>
      <c r="CA44" s="1">
        <f t="shared" si="202"/>
        <v>0</v>
      </c>
      <c r="CB44" s="1">
        <f t="shared" si="202"/>
        <v>0</v>
      </c>
      <c r="CC44" s="1">
        <f t="shared" si="202"/>
        <v>0</v>
      </c>
      <c r="CD44" s="1">
        <f t="shared" si="202"/>
        <v>0</v>
      </c>
      <c r="CE44" s="1">
        <f t="shared" si="202"/>
        <v>0</v>
      </c>
      <c r="CF44" s="1">
        <f t="shared" si="202"/>
        <v>0</v>
      </c>
      <c r="CG44" s="1">
        <f t="shared" si="202"/>
        <v>0</v>
      </c>
      <c r="CH44" s="1">
        <f t="shared" si="202"/>
        <v>0</v>
      </c>
      <c r="CI44" s="1">
        <f t="shared" si="202"/>
        <v>0</v>
      </c>
      <c r="CJ44" s="1">
        <f t="shared" si="202"/>
        <v>0</v>
      </c>
      <c r="CK44" s="1">
        <f t="shared" si="202"/>
        <v>0</v>
      </c>
      <c r="CL44" s="1">
        <f t="shared" si="202"/>
        <v>0</v>
      </c>
      <c r="CM44" s="1">
        <f t="shared" si="202"/>
        <v>0</v>
      </c>
      <c r="CN44" s="1">
        <f t="shared" si="202"/>
        <v>0</v>
      </c>
      <c r="CO44" s="1">
        <f t="shared" si="202"/>
        <v>0</v>
      </c>
      <c r="CP44" s="1">
        <f t="shared" si="202"/>
        <v>0</v>
      </c>
      <c r="CQ44" s="1">
        <f t="shared" si="202"/>
        <v>0</v>
      </c>
      <c r="CR44" s="1">
        <f t="shared" si="202"/>
        <v>0</v>
      </c>
      <c r="CS44" s="1">
        <f t="shared" si="202"/>
        <v>0</v>
      </c>
      <c r="CT44" s="1">
        <f t="shared" si="202"/>
        <v>0</v>
      </c>
      <c r="CU44" s="1">
        <f t="shared" si="202"/>
        <v>0</v>
      </c>
      <c r="CV44" s="1">
        <f t="shared" si="202"/>
        <v>0</v>
      </c>
      <c r="CW44" s="1">
        <f t="shared" si="202"/>
        <v>0</v>
      </c>
      <c r="CX44" s="1">
        <f t="shared" si="202"/>
        <v>0</v>
      </c>
      <c r="CY44" s="1">
        <f t="shared" si="202"/>
        <v>0</v>
      </c>
      <c r="CZ44" s="1">
        <f t="shared" si="202"/>
        <v>0</v>
      </c>
      <c r="DA44" s="1">
        <f t="shared" si="202"/>
        <v>0</v>
      </c>
      <c r="DB44" s="1">
        <f t="shared" si="202"/>
        <v>0</v>
      </c>
      <c r="DC44" s="1">
        <f t="shared" si="202"/>
        <v>0</v>
      </c>
      <c r="DD44" s="1">
        <f t="shared" si="202"/>
        <v>0</v>
      </c>
      <c r="DE44" s="1">
        <f t="shared" si="202"/>
        <v>0</v>
      </c>
      <c r="DF44" s="1">
        <f t="shared" si="202"/>
        <v>0</v>
      </c>
      <c r="DG44" s="1">
        <f t="shared" si="202"/>
        <v>0</v>
      </c>
      <c r="DH44" s="1">
        <f t="shared" si="202"/>
        <v>0</v>
      </c>
      <c r="DI44" s="1">
        <f t="shared" si="202"/>
        <v>0</v>
      </c>
      <c r="DJ44" s="1">
        <f t="shared" si="202"/>
        <v>0</v>
      </c>
      <c r="DK44" s="1">
        <f t="shared" si="202"/>
        <v>0</v>
      </c>
      <c r="DL44" s="1">
        <f t="shared" si="202"/>
        <v>0</v>
      </c>
      <c r="DM44" s="1">
        <f t="shared" si="202"/>
        <v>0</v>
      </c>
      <c r="DN44" s="1">
        <f t="shared" si="202"/>
        <v>0</v>
      </c>
      <c r="DO44" s="1">
        <f t="shared" si="202"/>
        <v>0</v>
      </c>
      <c r="DP44" s="1">
        <f t="shared" si="202"/>
        <v>0</v>
      </c>
      <c r="DQ44" s="1">
        <f t="shared" si="202"/>
        <v>0</v>
      </c>
      <c r="DR44" s="1">
        <f t="shared" si="202"/>
        <v>0</v>
      </c>
      <c r="DS44" s="1">
        <f t="shared" si="202"/>
        <v>0</v>
      </c>
      <c r="DT44" s="1">
        <f t="shared" si="202"/>
        <v>0</v>
      </c>
      <c r="DU44" s="1">
        <f t="shared" si="202"/>
        <v>0</v>
      </c>
      <c r="DV44" s="1">
        <f t="shared" si="202"/>
        <v>0</v>
      </c>
    </row>
    <row r="45" spans="1:126" x14ac:dyDescent="0.25">
      <c r="A45" s="26" t="s">
        <v>252</v>
      </c>
      <c r="B45" s="36">
        <f>+SUMIFS(ValoresMercado,Conceptos,A45,Relacion,'Parametros tecnológicos'!$F$7,Tipo,TipoEspecifico)</f>
        <v>23430725</v>
      </c>
      <c r="C45" s="26"/>
      <c r="D45" s="35"/>
      <c r="E45" s="35">
        <f t="shared" si="37"/>
        <v>56</v>
      </c>
      <c r="F45" s="1">
        <f t="shared" ref="F45:F46" si="203">+IF($A45="","",IF($D45=F$15,$B45+IF(MONTH($B$8)-MONTH($B$7)+$E$14=E$14,$C45,0),0))</f>
        <v>23430725</v>
      </c>
      <c r="G45" s="1">
        <f t="shared" si="201"/>
        <v>0</v>
      </c>
      <c r="H45" s="1">
        <f t="shared" si="201"/>
        <v>0</v>
      </c>
      <c r="I45" s="1">
        <f t="shared" si="201"/>
        <v>0</v>
      </c>
      <c r="J45" s="1">
        <f t="shared" si="201"/>
        <v>0</v>
      </c>
      <c r="K45" s="1">
        <f t="shared" si="201"/>
        <v>0</v>
      </c>
      <c r="L45" s="1">
        <f t="shared" si="201"/>
        <v>0</v>
      </c>
      <c r="M45" s="1">
        <f t="shared" si="201"/>
        <v>0</v>
      </c>
      <c r="N45" s="1">
        <f t="shared" si="201"/>
        <v>0</v>
      </c>
      <c r="O45" s="1">
        <f t="shared" si="201"/>
        <v>0</v>
      </c>
      <c r="P45" s="1">
        <f t="shared" si="201"/>
        <v>0</v>
      </c>
      <c r="Q45" s="1">
        <f t="shared" si="201"/>
        <v>0</v>
      </c>
      <c r="R45" s="1">
        <f t="shared" si="201"/>
        <v>0</v>
      </c>
      <c r="S45" s="1">
        <f t="shared" si="201"/>
        <v>0</v>
      </c>
      <c r="T45" s="1">
        <f t="shared" si="201"/>
        <v>0</v>
      </c>
      <c r="U45" s="1">
        <f t="shared" si="201"/>
        <v>0</v>
      </c>
      <c r="V45" s="1">
        <f t="shared" si="201"/>
        <v>0</v>
      </c>
      <c r="W45" s="1">
        <f t="shared" si="201"/>
        <v>0</v>
      </c>
      <c r="X45" s="1">
        <f t="shared" si="201"/>
        <v>0</v>
      </c>
      <c r="Y45" s="1">
        <f t="shared" si="201"/>
        <v>0</v>
      </c>
      <c r="Z45" s="1">
        <f t="shared" si="201"/>
        <v>0</v>
      </c>
      <c r="AA45" s="1">
        <f t="shared" si="201"/>
        <v>0</v>
      </c>
      <c r="AB45" s="1">
        <f t="shared" si="201"/>
        <v>0</v>
      </c>
      <c r="AC45" s="1">
        <f t="shared" si="201"/>
        <v>0</v>
      </c>
      <c r="AD45" s="1">
        <f t="shared" si="201"/>
        <v>0</v>
      </c>
      <c r="AE45" s="1">
        <f t="shared" si="201"/>
        <v>0</v>
      </c>
      <c r="AF45" s="1">
        <f t="shared" si="201"/>
        <v>0</v>
      </c>
      <c r="AG45" s="1">
        <f t="shared" si="201"/>
        <v>0</v>
      </c>
      <c r="AH45" s="1">
        <f t="shared" si="201"/>
        <v>0</v>
      </c>
      <c r="AI45" s="1">
        <f t="shared" si="201"/>
        <v>0</v>
      </c>
      <c r="AJ45" s="1">
        <f t="shared" si="201"/>
        <v>0</v>
      </c>
      <c r="AK45" s="1">
        <f t="shared" si="201"/>
        <v>0</v>
      </c>
      <c r="AL45" s="1">
        <f t="shared" si="201"/>
        <v>0</v>
      </c>
      <c r="AM45" s="1">
        <f t="shared" si="201"/>
        <v>0</v>
      </c>
      <c r="AN45" s="1">
        <f t="shared" si="201"/>
        <v>0</v>
      </c>
      <c r="AO45" s="1">
        <f t="shared" si="201"/>
        <v>0</v>
      </c>
      <c r="AP45" s="1">
        <f t="shared" si="201"/>
        <v>0</v>
      </c>
      <c r="AQ45" s="1">
        <f t="shared" si="201"/>
        <v>0</v>
      </c>
      <c r="AR45" s="1">
        <f t="shared" si="201"/>
        <v>0</v>
      </c>
      <c r="AS45" s="1">
        <f t="shared" si="201"/>
        <v>0</v>
      </c>
      <c r="AT45" s="1">
        <f t="shared" si="201"/>
        <v>0</v>
      </c>
      <c r="AU45" s="1">
        <f t="shared" si="201"/>
        <v>0</v>
      </c>
      <c r="AV45" s="1">
        <f t="shared" si="201"/>
        <v>0</v>
      </c>
      <c r="AW45" s="1">
        <f t="shared" si="201"/>
        <v>0</v>
      </c>
      <c r="AX45" s="1">
        <f t="shared" si="201"/>
        <v>0</v>
      </c>
      <c r="AY45" s="1">
        <f t="shared" si="201"/>
        <v>0</v>
      </c>
      <c r="AZ45" s="1">
        <f t="shared" si="201"/>
        <v>0</v>
      </c>
      <c r="BA45" s="1">
        <f t="shared" si="201"/>
        <v>0</v>
      </c>
      <c r="BB45" s="1">
        <f t="shared" si="201"/>
        <v>0</v>
      </c>
      <c r="BC45" s="1">
        <f t="shared" si="201"/>
        <v>0</v>
      </c>
      <c r="BD45" s="1">
        <f t="shared" si="201"/>
        <v>0</v>
      </c>
      <c r="BE45" s="1">
        <f t="shared" si="201"/>
        <v>0</v>
      </c>
      <c r="BF45" s="1">
        <f t="shared" si="201"/>
        <v>0</v>
      </c>
      <c r="BG45" s="1">
        <f t="shared" si="201"/>
        <v>0</v>
      </c>
      <c r="BH45" s="1">
        <f t="shared" si="201"/>
        <v>0</v>
      </c>
      <c r="BI45" s="1">
        <f t="shared" si="201"/>
        <v>0</v>
      </c>
      <c r="BJ45" s="1">
        <f t="shared" si="201"/>
        <v>0</v>
      </c>
      <c r="BK45" s="1">
        <f t="shared" si="201"/>
        <v>0</v>
      </c>
      <c r="BL45" s="1">
        <f t="shared" si="201"/>
        <v>0</v>
      </c>
      <c r="BM45" s="1">
        <f t="shared" si="201"/>
        <v>0</v>
      </c>
      <c r="BN45" s="1">
        <f t="shared" si="201"/>
        <v>0</v>
      </c>
      <c r="BO45" s="1">
        <f t="shared" si="201"/>
        <v>0</v>
      </c>
      <c r="BP45" s="1">
        <f t="shared" si="201"/>
        <v>0</v>
      </c>
      <c r="BQ45" s="1">
        <f t="shared" si="201"/>
        <v>0</v>
      </c>
      <c r="BR45" s="1">
        <f t="shared" si="202"/>
        <v>0</v>
      </c>
      <c r="BS45" s="1">
        <f t="shared" si="202"/>
        <v>0</v>
      </c>
      <c r="BT45" s="1">
        <f t="shared" si="202"/>
        <v>0</v>
      </c>
      <c r="BU45" s="1">
        <f t="shared" si="202"/>
        <v>0</v>
      </c>
      <c r="BV45" s="1">
        <f t="shared" si="202"/>
        <v>0</v>
      </c>
      <c r="BW45" s="1">
        <f t="shared" si="202"/>
        <v>0</v>
      </c>
      <c r="BX45" s="1">
        <f t="shared" si="202"/>
        <v>0</v>
      </c>
      <c r="BY45" s="1">
        <f t="shared" si="202"/>
        <v>0</v>
      </c>
      <c r="BZ45" s="1">
        <f t="shared" si="202"/>
        <v>0</v>
      </c>
      <c r="CA45" s="1">
        <f t="shared" si="202"/>
        <v>0</v>
      </c>
      <c r="CB45" s="1">
        <f t="shared" si="202"/>
        <v>0</v>
      </c>
      <c r="CC45" s="1">
        <f t="shared" si="202"/>
        <v>0</v>
      </c>
      <c r="CD45" s="1">
        <f t="shared" si="202"/>
        <v>0</v>
      </c>
      <c r="CE45" s="1">
        <f t="shared" si="202"/>
        <v>0</v>
      </c>
      <c r="CF45" s="1">
        <f t="shared" si="202"/>
        <v>0</v>
      </c>
      <c r="CG45" s="1">
        <f t="shared" si="202"/>
        <v>0</v>
      </c>
      <c r="CH45" s="1">
        <f t="shared" si="202"/>
        <v>0</v>
      </c>
      <c r="CI45" s="1">
        <f t="shared" si="202"/>
        <v>0</v>
      </c>
      <c r="CJ45" s="1">
        <f t="shared" si="202"/>
        <v>0</v>
      </c>
      <c r="CK45" s="1">
        <f t="shared" si="202"/>
        <v>0</v>
      </c>
      <c r="CL45" s="1">
        <f t="shared" si="202"/>
        <v>0</v>
      </c>
      <c r="CM45" s="1">
        <f t="shared" si="202"/>
        <v>0</v>
      </c>
      <c r="CN45" s="1">
        <f t="shared" si="202"/>
        <v>0</v>
      </c>
      <c r="CO45" s="1">
        <f t="shared" si="202"/>
        <v>0</v>
      </c>
      <c r="CP45" s="1">
        <f t="shared" si="202"/>
        <v>0</v>
      </c>
      <c r="CQ45" s="1">
        <f t="shared" si="202"/>
        <v>0</v>
      </c>
      <c r="CR45" s="1">
        <f t="shared" si="202"/>
        <v>0</v>
      </c>
      <c r="CS45" s="1">
        <f t="shared" si="202"/>
        <v>0</v>
      </c>
      <c r="CT45" s="1">
        <f t="shared" si="202"/>
        <v>0</v>
      </c>
      <c r="CU45" s="1">
        <f t="shared" si="202"/>
        <v>0</v>
      </c>
      <c r="CV45" s="1">
        <f t="shared" si="202"/>
        <v>0</v>
      </c>
      <c r="CW45" s="1">
        <f t="shared" si="202"/>
        <v>0</v>
      </c>
      <c r="CX45" s="1">
        <f t="shared" si="202"/>
        <v>0</v>
      </c>
      <c r="CY45" s="1">
        <f t="shared" si="202"/>
        <v>0</v>
      </c>
      <c r="CZ45" s="1">
        <f t="shared" si="202"/>
        <v>0</v>
      </c>
      <c r="DA45" s="1">
        <f t="shared" si="202"/>
        <v>0</v>
      </c>
      <c r="DB45" s="1">
        <f t="shared" si="202"/>
        <v>0</v>
      </c>
      <c r="DC45" s="1">
        <f t="shared" si="202"/>
        <v>0</v>
      </c>
      <c r="DD45" s="1">
        <f t="shared" si="202"/>
        <v>0</v>
      </c>
      <c r="DE45" s="1">
        <f t="shared" si="202"/>
        <v>0</v>
      </c>
      <c r="DF45" s="1">
        <f t="shared" si="202"/>
        <v>0</v>
      </c>
      <c r="DG45" s="1">
        <f t="shared" si="202"/>
        <v>0</v>
      </c>
      <c r="DH45" s="1">
        <f t="shared" si="202"/>
        <v>0</v>
      </c>
      <c r="DI45" s="1">
        <f t="shared" si="202"/>
        <v>0</v>
      </c>
      <c r="DJ45" s="1">
        <f t="shared" si="202"/>
        <v>0</v>
      </c>
      <c r="DK45" s="1">
        <f t="shared" si="202"/>
        <v>0</v>
      </c>
      <c r="DL45" s="1">
        <f t="shared" si="202"/>
        <v>0</v>
      </c>
      <c r="DM45" s="1">
        <f t="shared" si="202"/>
        <v>0</v>
      </c>
      <c r="DN45" s="1">
        <f t="shared" si="202"/>
        <v>0</v>
      </c>
      <c r="DO45" s="1">
        <f t="shared" si="202"/>
        <v>0</v>
      </c>
      <c r="DP45" s="1">
        <f t="shared" si="202"/>
        <v>0</v>
      </c>
      <c r="DQ45" s="1">
        <f t="shared" si="202"/>
        <v>0</v>
      </c>
      <c r="DR45" s="1">
        <f t="shared" si="202"/>
        <v>0</v>
      </c>
      <c r="DS45" s="1">
        <f t="shared" si="202"/>
        <v>0</v>
      </c>
      <c r="DT45" s="1">
        <f t="shared" si="202"/>
        <v>0</v>
      </c>
      <c r="DU45" s="1">
        <f t="shared" si="202"/>
        <v>0</v>
      </c>
      <c r="DV45" s="1">
        <f t="shared" si="202"/>
        <v>0</v>
      </c>
    </row>
    <row r="46" spans="1:126" x14ac:dyDescent="0.25">
      <c r="A46" s="26" t="s">
        <v>253</v>
      </c>
      <c r="B46" s="36">
        <f>+SUMIFS(ValoresMercado,Conceptos,A46,Relacion,'Parametros tecnológicos'!$F$7,Tipo,TipoEspecifico)</f>
        <v>12000000</v>
      </c>
      <c r="C46" s="26"/>
      <c r="D46" s="35"/>
      <c r="E46" s="35">
        <f t="shared" si="37"/>
        <v>56</v>
      </c>
      <c r="F46" s="1">
        <f t="shared" si="203"/>
        <v>12000000</v>
      </c>
      <c r="G46" s="1">
        <f t="shared" si="201"/>
        <v>0</v>
      </c>
      <c r="H46" s="1">
        <f t="shared" si="201"/>
        <v>0</v>
      </c>
      <c r="I46" s="1">
        <f t="shared" si="201"/>
        <v>0</v>
      </c>
      <c r="J46" s="1">
        <f t="shared" si="201"/>
        <v>0</v>
      </c>
      <c r="K46" s="1">
        <f t="shared" si="201"/>
        <v>0</v>
      </c>
      <c r="L46" s="1">
        <f t="shared" si="201"/>
        <v>0</v>
      </c>
      <c r="M46" s="1">
        <f t="shared" si="201"/>
        <v>0</v>
      </c>
      <c r="N46" s="1">
        <f t="shared" si="201"/>
        <v>0</v>
      </c>
      <c r="O46" s="1">
        <f t="shared" si="201"/>
        <v>0</v>
      </c>
      <c r="P46" s="1">
        <f t="shared" si="201"/>
        <v>0</v>
      </c>
      <c r="Q46" s="1">
        <f t="shared" si="201"/>
        <v>0</v>
      </c>
      <c r="R46" s="1">
        <f t="shared" si="201"/>
        <v>0</v>
      </c>
      <c r="S46" s="1">
        <f t="shared" si="201"/>
        <v>0</v>
      </c>
      <c r="T46" s="1">
        <f t="shared" si="201"/>
        <v>0</v>
      </c>
      <c r="U46" s="1">
        <f t="shared" si="201"/>
        <v>0</v>
      </c>
      <c r="V46" s="1">
        <f t="shared" si="201"/>
        <v>0</v>
      </c>
      <c r="W46" s="1">
        <f t="shared" si="201"/>
        <v>0</v>
      </c>
      <c r="X46" s="1">
        <f t="shared" si="201"/>
        <v>0</v>
      </c>
      <c r="Y46" s="1">
        <f t="shared" si="201"/>
        <v>0</v>
      </c>
      <c r="Z46" s="1">
        <f t="shared" si="201"/>
        <v>0</v>
      </c>
      <c r="AA46" s="1">
        <f t="shared" si="201"/>
        <v>0</v>
      </c>
      <c r="AB46" s="1">
        <f t="shared" si="201"/>
        <v>0</v>
      </c>
      <c r="AC46" s="1">
        <f t="shared" si="201"/>
        <v>0</v>
      </c>
      <c r="AD46" s="1">
        <f t="shared" si="201"/>
        <v>0</v>
      </c>
      <c r="AE46" s="1">
        <f t="shared" si="201"/>
        <v>0</v>
      </c>
      <c r="AF46" s="1">
        <f t="shared" si="201"/>
        <v>0</v>
      </c>
      <c r="AG46" s="1">
        <f t="shared" si="201"/>
        <v>0</v>
      </c>
      <c r="AH46" s="1">
        <f t="shared" si="201"/>
        <v>0</v>
      </c>
      <c r="AI46" s="1">
        <f t="shared" si="201"/>
        <v>0</v>
      </c>
      <c r="AJ46" s="1">
        <f t="shared" si="201"/>
        <v>0</v>
      </c>
      <c r="AK46" s="1">
        <f t="shared" si="201"/>
        <v>0</v>
      </c>
      <c r="AL46" s="1">
        <f t="shared" si="201"/>
        <v>0</v>
      </c>
      <c r="AM46" s="1">
        <f t="shared" si="201"/>
        <v>0</v>
      </c>
      <c r="AN46" s="1">
        <f t="shared" si="201"/>
        <v>0</v>
      </c>
      <c r="AO46" s="1">
        <f t="shared" si="201"/>
        <v>0</v>
      </c>
      <c r="AP46" s="1">
        <f t="shared" si="201"/>
        <v>0</v>
      </c>
      <c r="AQ46" s="1">
        <f t="shared" si="201"/>
        <v>0</v>
      </c>
      <c r="AR46" s="1">
        <f t="shared" si="201"/>
        <v>0</v>
      </c>
      <c r="AS46" s="1">
        <f t="shared" si="201"/>
        <v>0</v>
      </c>
      <c r="AT46" s="1">
        <f t="shared" si="201"/>
        <v>0</v>
      </c>
      <c r="AU46" s="1">
        <f t="shared" si="201"/>
        <v>0</v>
      </c>
      <c r="AV46" s="1">
        <f t="shared" si="201"/>
        <v>0</v>
      </c>
      <c r="AW46" s="1">
        <f t="shared" si="201"/>
        <v>0</v>
      </c>
      <c r="AX46" s="1">
        <f t="shared" si="201"/>
        <v>0</v>
      </c>
      <c r="AY46" s="1">
        <f t="shared" si="201"/>
        <v>0</v>
      </c>
      <c r="AZ46" s="1">
        <f t="shared" si="201"/>
        <v>0</v>
      </c>
      <c r="BA46" s="1">
        <f t="shared" si="201"/>
        <v>0</v>
      </c>
      <c r="BB46" s="1">
        <f t="shared" si="201"/>
        <v>0</v>
      </c>
      <c r="BC46" s="1">
        <f t="shared" si="201"/>
        <v>0</v>
      </c>
      <c r="BD46" s="1">
        <f t="shared" si="201"/>
        <v>0</v>
      </c>
      <c r="BE46" s="1">
        <f t="shared" si="201"/>
        <v>0</v>
      </c>
      <c r="BF46" s="1">
        <f t="shared" si="201"/>
        <v>0</v>
      </c>
      <c r="BG46" s="1">
        <f t="shared" si="201"/>
        <v>0</v>
      </c>
      <c r="BH46" s="1">
        <f t="shared" si="201"/>
        <v>0</v>
      </c>
      <c r="BI46" s="1">
        <f t="shared" si="201"/>
        <v>0</v>
      </c>
      <c r="BJ46" s="1">
        <f t="shared" si="201"/>
        <v>0</v>
      </c>
      <c r="BK46" s="1">
        <f t="shared" si="201"/>
        <v>0</v>
      </c>
      <c r="BL46" s="1">
        <f t="shared" si="201"/>
        <v>0</v>
      </c>
      <c r="BM46" s="1">
        <f t="shared" si="201"/>
        <v>0</v>
      </c>
      <c r="BN46" s="1">
        <f t="shared" si="201"/>
        <v>0</v>
      </c>
      <c r="BO46" s="1">
        <f t="shared" si="201"/>
        <v>0</v>
      </c>
      <c r="BP46" s="1">
        <f t="shared" si="201"/>
        <v>0</v>
      </c>
      <c r="BQ46" s="1">
        <f t="shared" si="201"/>
        <v>0</v>
      </c>
      <c r="BR46" s="1">
        <f t="shared" si="202"/>
        <v>0</v>
      </c>
      <c r="BS46" s="1">
        <f t="shared" si="202"/>
        <v>0</v>
      </c>
      <c r="BT46" s="1">
        <f t="shared" si="202"/>
        <v>0</v>
      </c>
      <c r="BU46" s="1">
        <f t="shared" si="202"/>
        <v>0</v>
      </c>
      <c r="BV46" s="1">
        <f t="shared" si="202"/>
        <v>0</v>
      </c>
      <c r="BW46" s="1">
        <f t="shared" si="202"/>
        <v>0</v>
      </c>
      <c r="BX46" s="1">
        <f t="shared" si="202"/>
        <v>0</v>
      </c>
      <c r="BY46" s="1">
        <f t="shared" si="202"/>
        <v>0</v>
      </c>
      <c r="BZ46" s="1">
        <f t="shared" si="202"/>
        <v>0</v>
      </c>
      <c r="CA46" s="1">
        <f t="shared" si="202"/>
        <v>0</v>
      </c>
      <c r="CB46" s="1">
        <f t="shared" si="202"/>
        <v>0</v>
      </c>
      <c r="CC46" s="1">
        <f t="shared" si="202"/>
        <v>0</v>
      </c>
      <c r="CD46" s="1">
        <f t="shared" si="202"/>
        <v>0</v>
      </c>
      <c r="CE46" s="1">
        <f t="shared" si="202"/>
        <v>0</v>
      </c>
      <c r="CF46" s="1">
        <f t="shared" si="202"/>
        <v>0</v>
      </c>
      <c r="CG46" s="1">
        <f t="shared" si="202"/>
        <v>0</v>
      </c>
      <c r="CH46" s="1">
        <f t="shared" si="202"/>
        <v>0</v>
      </c>
      <c r="CI46" s="1">
        <f t="shared" si="202"/>
        <v>0</v>
      </c>
      <c r="CJ46" s="1">
        <f t="shared" si="202"/>
        <v>0</v>
      </c>
      <c r="CK46" s="1">
        <f t="shared" si="202"/>
        <v>0</v>
      </c>
      <c r="CL46" s="1">
        <f t="shared" si="202"/>
        <v>0</v>
      </c>
      <c r="CM46" s="1">
        <f t="shared" si="202"/>
        <v>0</v>
      </c>
      <c r="CN46" s="1">
        <f t="shared" si="202"/>
        <v>0</v>
      </c>
      <c r="CO46" s="1">
        <f t="shared" si="202"/>
        <v>0</v>
      </c>
      <c r="CP46" s="1">
        <f t="shared" si="202"/>
        <v>0</v>
      </c>
      <c r="CQ46" s="1">
        <f t="shared" si="202"/>
        <v>0</v>
      </c>
      <c r="CR46" s="1">
        <f t="shared" si="202"/>
        <v>0</v>
      </c>
      <c r="CS46" s="1">
        <f t="shared" si="202"/>
        <v>0</v>
      </c>
      <c r="CT46" s="1">
        <f t="shared" si="202"/>
        <v>0</v>
      </c>
      <c r="CU46" s="1">
        <f t="shared" si="202"/>
        <v>0</v>
      </c>
      <c r="CV46" s="1">
        <f t="shared" si="202"/>
        <v>0</v>
      </c>
      <c r="CW46" s="1">
        <f t="shared" si="202"/>
        <v>0</v>
      </c>
      <c r="CX46" s="1">
        <f t="shared" si="202"/>
        <v>0</v>
      </c>
      <c r="CY46" s="1">
        <f t="shared" si="202"/>
        <v>0</v>
      </c>
      <c r="CZ46" s="1">
        <f t="shared" si="202"/>
        <v>0</v>
      </c>
      <c r="DA46" s="1">
        <f t="shared" si="202"/>
        <v>0</v>
      </c>
      <c r="DB46" s="1">
        <f t="shared" si="202"/>
        <v>0</v>
      </c>
      <c r="DC46" s="1">
        <f t="shared" si="202"/>
        <v>0</v>
      </c>
      <c r="DD46" s="1">
        <f t="shared" si="202"/>
        <v>0</v>
      </c>
      <c r="DE46" s="1">
        <f t="shared" si="202"/>
        <v>0</v>
      </c>
      <c r="DF46" s="1">
        <f t="shared" si="202"/>
        <v>0</v>
      </c>
      <c r="DG46" s="1">
        <f t="shared" si="202"/>
        <v>0</v>
      </c>
      <c r="DH46" s="1">
        <f t="shared" si="202"/>
        <v>0</v>
      </c>
      <c r="DI46" s="1">
        <f t="shared" si="202"/>
        <v>0</v>
      </c>
      <c r="DJ46" s="1">
        <f t="shared" si="202"/>
        <v>0</v>
      </c>
      <c r="DK46" s="1">
        <f t="shared" si="202"/>
        <v>0</v>
      </c>
      <c r="DL46" s="1">
        <f t="shared" si="202"/>
        <v>0</v>
      </c>
      <c r="DM46" s="1">
        <f t="shared" si="202"/>
        <v>0</v>
      </c>
      <c r="DN46" s="1">
        <f t="shared" si="202"/>
        <v>0</v>
      </c>
      <c r="DO46" s="1">
        <f t="shared" si="202"/>
        <v>0</v>
      </c>
      <c r="DP46" s="1">
        <f t="shared" si="202"/>
        <v>0</v>
      </c>
      <c r="DQ46" s="1">
        <f t="shared" si="202"/>
        <v>0</v>
      </c>
      <c r="DR46" s="1">
        <f t="shared" si="202"/>
        <v>0</v>
      </c>
      <c r="DS46" s="1">
        <f t="shared" si="202"/>
        <v>0</v>
      </c>
      <c r="DT46" s="1">
        <f t="shared" si="202"/>
        <v>0</v>
      </c>
      <c r="DU46" s="1">
        <f t="shared" si="202"/>
        <v>0</v>
      </c>
      <c r="DV46" s="1">
        <f t="shared" si="202"/>
        <v>0</v>
      </c>
    </row>
    <row r="47" spans="1:126" x14ac:dyDescent="0.25">
      <c r="A47" s="26" t="s">
        <v>21</v>
      </c>
      <c r="B47" s="26"/>
      <c r="C47" s="36">
        <f>+SUMIFS(ValoresMercado,Conceptos,A47,Tipo,TipoEspecifico,Relacion,'Parametros tecnológicos'!$F$7,ClaseTorreRango,ClaseTorre)/12</f>
        <v>592410</v>
      </c>
      <c r="D47" s="35"/>
      <c r="E47" s="35">
        <f t="shared" si="37"/>
        <v>56</v>
      </c>
      <c r="F47" s="1">
        <f t="shared" si="28"/>
        <v>0</v>
      </c>
      <c r="G47" s="1">
        <f t="shared" ref="G47:G49" si="204">+(IF($A47="","",IF(G$15&gt;12,IF($D47&gt;MONTH(G$16)-MONTH(InicioFuncion)+12*(YEAR(G$16)-YEAR(InicioFuncion))+1,0,IF($E47&lt;=(MONTH(G$16)-MONTH(InicioFuncion)+12*(YEAR(G$16)-YEAR(InicioFuncion)))-$D47+IF($D47&lt;&gt;"",1,0),0,IF(G$15&gt;$B$9,0,IF((YEAR($B$8)-YEAR($B$7))*12+(MONTH($B$8)-MONTH($B$7))+$E$14&lt;=F$14,$C47))))*HLOOKUP(YEAR(G$16),$E$3:$O$5,3,0),0)))</f>
        <v>0</v>
      </c>
      <c r="H47" s="1">
        <f t="shared" ref="H47:H49" si="205">+(IF($A47="","",IF(H$15&gt;12,IF($D47&gt;MONTH(H$16)-MONTH(InicioFuncion)+12*(YEAR(H$16)-YEAR(InicioFuncion))+1,0,IF($E47&lt;=(MONTH(H$16)-MONTH(InicioFuncion)+12*(YEAR(H$16)-YEAR(InicioFuncion)))-$D47+IF($D47&lt;&gt;"",1,0),0,IF(H$15&gt;$B$9,0,IF((YEAR($B$8)-YEAR($B$7))*12+(MONTH($B$8)-MONTH($B$7))+$E$14&lt;=G$14,$C47))))*HLOOKUP(YEAR(H$16),$E$3:$O$5,3,0),0)))</f>
        <v>0</v>
      </c>
      <c r="I47" s="1">
        <f t="shared" ref="I47:I49" si="206">+(IF($A47="","",IF(I$15&gt;12,IF($D47&gt;MONTH(I$16)-MONTH(InicioFuncion)+12*(YEAR(I$16)-YEAR(InicioFuncion))+1,0,IF($E47&lt;=(MONTH(I$16)-MONTH(InicioFuncion)+12*(YEAR(I$16)-YEAR(InicioFuncion)))-$D47+IF($D47&lt;&gt;"",1,0),0,IF(I$15&gt;$B$9,0,IF((YEAR($B$8)-YEAR($B$7))*12+(MONTH($B$8)-MONTH($B$7))+$E$14&lt;=H$14,$C47))))*HLOOKUP(YEAR(I$16),$E$3:$O$5,3,0),0)))</f>
        <v>0</v>
      </c>
      <c r="J47" s="1">
        <f t="shared" ref="J47:J49" si="207">+(IF($A47="","",IF(J$15&gt;12,IF($D47&gt;MONTH(J$16)-MONTH(InicioFuncion)+12*(YEAR(J$16)-YEAR(InicioFuncion))+1,0,IF($E47&lt;=(MONTH(J$16)-MONTH(InicioFuncion)+12*(YEAR(J$16)-YEAR(InicioFuncion)))-$D47+IF($D47&lt;&gt;"",1,0),0,IF(J$15&gt;$B$9,0,IF((YEAR($B$8)-YEAR($B$7))*12+(MONTH($B$8)-MONTH($B$7))+$E$14&lt;=I$14,$C47))))*HLOOKUP(YEAR(J$16),$E$3:$O$5,3,0),0)))</f>
        <v>0</v>
      </c>
      <c r="K47" s="1">
        <f t="shared" ref="K47:K49" si="208">+(IF($A47="","",IF(K$15&gt;12,IF($D47&gt;MONTH(K$16)-MONTH(InicioFuncion)+12*(YEAR(K$16)-YEAR(InicioFuncion))+1,0,IF($E47&lt;=(MONTH(K$16)-MONTH(InicioFuncion)+12*(YEAR(K$16)-YEAR(InicioFuncion)))-$D47+IF($D47&lt;&gt;"",1,0),0,IF(K$15&gt;$B$9,0,IF((YEAR($B$8)-YEAR($B$7))*12+(MONTH($B$8)-MONTH($B$7))+$E$14&lt;=J$14,$C47))))*HLOOKUP(YEAR(K$16),$E$3:$O$5,3,0),0)))</f>
        <v>0</v>
      </c>
      <c r="L47" s="1">
        <f t="shared" ref="L47:L49" si="209">+(IF($A47="","",IF(L$15&gt;12,IF($D47&gt;MONTH(L$16)-MONTH(InicioFuncion)+12*(YEAR(L$16)-YEAR(InicioFuncion))+1,0,IF($E47&lt;=(MONTH(L$16)-MONTH(InicioFuncion)+12*(YEAR(L$16)-YEAR(InicioFuncion)))-$D47+IF($D47&lt;&gt;"",1,0),0,IF(L$15&gt;$B$9,0,IF((YEAR($B$8)-YEAR($B$7))*12+(MONTH($B$8)-MONTH($B$7))+$E$14&lt;=K$14,$C47))))*HLOOKUP(YEAR(L$16),$E$3:$O$5,3,0),0)))</f>
        <v>0</v>
      </c>
      <c r="M47" s="1">
        <f t="shared" ref="M47:M49" si="210">+(IF($A47="","",IF(M$15&gt;12,IF($D47&gt;MONTH(M$16)-MONTH(InicioFuncion)+12*(YEAR(M$16)-YEAR(InicioFuncion))+1,0,IF($E47&lt;=(MONTH(M$16)-MONTH(InicioFuncion)+12*(YEAR(M$16)-YEAR(InicioFuncion)))-$D47+IF($D47&lt;&gt;"",1,0),0,IF(M$15&gt;$B$9,0,IF((YEAR($B$8)-YEAR($B$7))*12+(MONTH($B$8)-MONTH($B$7))+$E$14&lt;=L$14,$C47))))*HLOOKUP(YEAR(M$16),$E$3:$O$5,3,0),0)))</f>
        <v>0</v>
      </c>
      <c r="N47" s="1">
        <f t="shared" ref="N47:N49" si="211">+(IF($A47="","",IF(N$15&gt;12,IF($D47&gt;MONTH(N$16)-MONTH(InicioFuncion)+12*(YEAR(N$16)-YEAR(InicioFuncion))+1,0,IF($E47&lt;=(MONTH(N$16)-MONTH(InicioFuncion)+12*(YEAR(N$16)-YEAR(InicioFuncion)))-$D47+IF($D47&lt;&gt;"",1,0),0,IF(N$15&gt;$B$9,0,IF((YEAR($B$8)-YEAR($B$7))*12+(MONTH($B$8)-MONTH($B$7))+$E$14&lt;=M$14,$C47))))*HLOOKUP(YEAR(N$16),$E$3:$O$5,3,0),0)))</f>
        <v>0</v>
      </c>
      <c r="O47" s="1">
        <f t="shared" ref="O47:O49" si="212">+(IF($A47="","",IF(O$15&gt;12,IF($D47&gt;MONTH(O$16)-MONTH(InicioFuncion)+12*(YEAR(O$16)-YEAR(InicioFuncion))+1,0,IF($E47&lt;=(MONTH(O$16)-MONTH(InicioFuncion)+12*(YEAR(O$16)-YEAR(InicioFuncion)))-$D47+IF($D47&lt;&gt;"",1,0),0,IF(O$15&gt;$B$9,0,IF((YEAR($B$8)-YEAR($B$7))*12+(MONTH($B$8)-MONTH($B$7))+$E$14&lt;=N$14,$C47))))*HLOOKUP(YEAR(O$16),$E$3:$O$5,3,0),0)))</f>
        <v>0</v>
      </c>
      <c r="P47" s="1">
        <f t="shared" ref="P47:P49" si="213">+(IF($A47="","",IF(P$15&gt;12,IF($D47&gt;MONTH(P$16)-MONTH(InicioFuncion)+12*(YEAR(P$16)-YEAR(InicioFuncion))+1,0,IF($E47&lt;=(MONTH(P$16)-MONTH(InicioFuncion)+12*(YEAR(P$16)-YEAR(InicioFuncion)))-$D47+IF($D47&lt;&gt;"",1,0),0,IF(P$15&gt;$B$9,0,IF((YEAR($B$8)-YEAR($B$7))*12+(MONTH($B$8)-MONTH($B$7))+$E$14&lt;=O$14,$C47))))*HLOOKUP(YEAR(P$16),$E$3:$O$5,3,0),0)))</f>
        <v>0</v>
      </c>
      <c r="Q47" s="1">
        <f t="shared" ref="Q47:Q49" si="214">+(IF($A47="","",IF(Q$15&gt;12,IF($D47&gt;MONTH(Q$16)-MONTH(InicioFuncion)+12*(YEAR(Q$16)-YEAR(InicioFuncion))+1,0,IF($E47&lt;=(MONTH(Q$16)-MONTH(InicioFuncion)+12*(YEAR(Q$16)-YEAR(InicioFuncion)))-$D47+IF($D47&lt;&gt;"",1,0),0,IF(Q$15&gt;$B$9,0,IF((YEAR($B$8)-YEAR($B$7))*12+(MONTH($B$8)-MONTH($B$7))+$E$14&lt;=P$14,$C47))))*HLOOKUP(YEAR(Q$16),$E$3:$O$5,3,0),0)))</f>
        <v>0</v>
      </c>
      <c r="R47" s="1">
        <f t="shared" ref="R47:R49" si="215">+(IF($A47="","",IF(R$15&gt;12,IF($D47&gt;MONTH(R$16)-MONTH(InicioFuncion)+12*(YEAR(R$16)-YEAR(InicioFuncion))+1,0,IF($E47&lt;=(MONTH(R$16)-MONTH(InicioFuncion)+12*(YEAR(R$16)-YEAR(InicioFuncion)))-$D47+IF($D47&lt;&gt;"",1,0),0,IF(R$15&gt;$B$9,0,IF((YEAR($B$8)-YEAR($B$7))*12+(MONTH($B$8)-MONTH($B$7))+$E$14&lt;=Q$14,$C47))))*HLOOKUP(YEAR(R$16),$E$3:$O$5,3,0),0)))</f>
        <v>0</v>
      </c>
      <c r="S47" s="1">
        <f t="shared" ref="S47:S49" si="216">+(IF($A47="","",IF(S$15&gt;12,IF($D47&gt;MONTH(S$16)-MONTH(InicioFuncion)+12*(YEAR(S$16)-YEAR(InicioFuncion))+1,0,IF($E47&lt;=(MONTH(S$16)-MONTH(InicioFuncion)+12*(YEAR(S$16)-YEAR(InicioFuncion)))-$D47+IF($D47&lt;&gt;"",1,0),0,IF(S$15&gt;$B$9,0,IF((YEAR($B$8)-YEAR($B$7))*12+(MONTH($B$8)-MONTH($B$7))+$E$14&lt;=R$14,$C47))))*HLOOKUP(YEAR(S$16),$E$3:$O$5,3,0),0)))</f>
        <v>610182.30000000005</v>
      </c>
      <c r="T47" s="1">
        <f t="shared" ref="T47:T49" si="217">+(IF($A47="","",IF(T$15&gt;12,IF($D47&gt;MONTH(T$16)-MONTH(InicioFuncion)+12*(YEAR(T$16)-YEAR(InicioFuncion))+1,0,IF($E47&lt;=(MONTH(T$16)-MONTH(InicioFuncion)+12*(YEAR(T$16)-YEAR(InicioFuncion)))-$D47+IF($D47&lt;&gt;"",1,0),0,IF(T$15&gt;$B$9,0,IF((YEAR($B$8)-YEAR($B$7))*12+(MONTH($B$8)-MONTH($B$7))+$E$14&lt;=S$14,$C47))))*HLOOKUP(YEAR(T$16),$E$3:$O$5,3,0),0)))</f>
        <v>610182.30000000005</v>
      </c>
      <c r="U47" s="1">
        <f t="shared" ref="U47:U49" si="218">+(IF($A47="","",IF(U$15&gt;12,IF($D47&gt;MONTH(U$16)-MONTH(InicioFuncion)+12*(YEAR(U$16)-YEAR(InicioFuncion))+1,0,IF($E47&lt;=(MONTH(U$16)-MONTH(InicioFuncion)+12*(YEAR(U$16)-YEAR(InicioFuncion)))-$D47+IF($D47&lt;&gt;"",1,0),0,IF(U$15&gt;$B$9,0,IF((YEAR($B$8)-YEAR($B$7))*12+(MONTH($B$8)-MONTH($B$7))+$E$14&lt;=T$14,$C47))))*HLOOKUP(YEAR(U$16),$E$3:$O$5,3,0),0)))</f>
        <v>610182.30000000005</v>
      </c>
      <c r="V47" s="1">
        <f t="shared" ref="V47:V49" si="219">+(IF($A47="","",IF(V$15&gt;12,IF($D47&gt;MONTH(V$16)-MONTH(InicioFuncion)+12*(YEAR(V$16)-YEAR(InicioFuncion))+1,0,IF($E47&lt;=(MONTH(V$16)-MONTH(InicioFuncion)+12*(YEAR(V$16)-YEAR(InicioFuncion)))-$D47+IF($D47&lt;&gt;"",1,0),0,IF(V$15&gt;$B$9,0,IF((YEAR($B$8)-YEAR($B$7))*12+(MONTH($B$8)-MONTH($B$7))+$E$14&lt;=U$14,$C47))))*HLOOKUP(YEAR(V$16),$E$3:$O$5,3,0),0)))</f>
        <v>610182.30000000005</v>
      </c>
      <c r="W47" s="1">
        <f t="shared" ref="W47:W49" si="220">+(IF($A47="","",IF(W$15&gt;12,IF($D47&gt;MONTH(W$16)-MONTH(InicioFuncion)+12*(YEAR(W$16)-YEAR(InicioFuncion))+1,0,IF($E47&lt;=(MONTH(W$16)-MONTH(InicioFuncion)+12*(YEAR(W$16)-YEAR(InicioFuncion)))-$D47+IF($D47&lt;&gt;"",1,0),0,IF(W$15&gt;$B$9,0,IF((YEAR($B$8)-YEAR($B$7))*12+(MONTH($B$8)-MONTH($B$7))+$E$14&lt;=V$14,$C47))))*HLOOKUP(YEAR(W$16),$E$3:$O$5,3,0),0)))</f>
        <v>610182.30000000005</v>
      </c>
      <c r="X47" s="1">
        <f t="shared" ref="X47:X49" si="221">+(IF($A47="","",IF(X$15&gt;12,IF($D47&gt;MONTH(X$16)-MONTH(InicioFuncion)+12*(YEAR(X$16)-YEAR(InicioFuncion))+1,0,IF($E47&lt;=(MONTH(X$16)-MONTH(InicioFuncion)+12*(YEAR(X$16)-YEAR(InicioFuncion)))-$D47+IF($D47&lt;&gt;"",1,0),0,IF(X$15&gt;$B$9,0,IF((YEAR($B$8)-YEAR($B$7))*12+(MONTH($B$8)-MONTH($B$7))+$E$14&lt;=W$14,$C47))))*HLOOKUP(YEAR(X$16),$E$3:$O$5,3,0),0)))</f>
        <v>610182.30000000005</v>
      </c>
      <c r="Y47" s="1">
        <f t="shared" ref="Y47:Y49" si="222">+(IF($A47="","",IF(Y$15&gt;12,IF($D47&gt;MONTH(Y$16)-MONTH(InicioFuncion)+12*(YEAR(Y$16)-YEAR(InicioFuncion))+1,0,IF($E47&lt;=(MONTH(Y$16)-MONTH(InicioFuncion)+12*(YEAR(Y$16)-YEAR(InicioFuncion)))-$D47+IF($D47&lt;&gt;"",1,0),0,IF(Y$15&gt;$B$9,0,IF((YEAR($B$8)-YEAR($B$7))*12+(MONTH($B$8)-MONTH($B$7))+$E$14&lt;=X$14,$C47))))*HLOOKUP(YEAR(Y$16),$E$3:$O$5,3,0),0)))</f>
        <v>610182.30000000005</v>
      </c>
      <c r="Z47" s="1">
        <f t="shared" ref="Z47:Z49" si="223">+(IF($A47="","",IF(Z$15&gt;12,IF($D47&gt;MONTH(Z$16)-MONTH(InicioFuncion)+12*(YEAR(Z$16)-YEAR(InicioFuncion))+1,0,IF($E47&lt;=(MONTH(Z$16)-MONTH(InicioFuncion)+12*(YEAR(Z$16)-YEAR(InicioFuncion)))-$D47+IF($D47&lt;&gt;"",1,0),0,IF(Z$15&gt;$B$9,0,IF((YEAR($B$8)-YEAR($B$7))*12+(MONTH($B$8)-MONTH($B$7))+$E$14&lt;=Y$14,$C47))))*HLOOKUP(YEAR(Z$16),$E$3:$O$5,3,0),0)))</f>
        <v>628487.76899999997</v>
      </c>
      <c r="AA47" s="1">
        <f t="shared" ref="AA47:AA49" si="224">+(IF($A47="","",IF(AA$15&gt;12,IF($D47&gt;MONTH(AA$16)-MONTH(InicioFuncion)+12*(YEAR(AA$16)-YEAR(InicioFuncion))+1,0,IF($E47&lt;=(MONTH(AA$16)-MONTH(InicioFuncion)+12*(YEAR(AA$16)-YEAR(InicioFuncion)))-$D47+IF($D47&lt;&gt;"",1,0),0,IF(AA$15&gt;$B$9,0,IF((YEAR($B$8)-YEAR($B$7))*12+(MONTH($B$8)-MONTH($B$7))+$E$14&lt;=Z$14,$C47))))*HLOOKUP(YEAR(AA$16),$E$3:$O$5,3,0),0)))</f>
        <v>628487.76899999997</v>
      </c>
      <c r="AB47" s="1">
        <f t="shared" ref="AB47:AB49" si="225">+(IF($A47="","",IF(AB$15&gt;12,IF($D47&gt;MONTH(AB$16)-MONTH(InicioFuncion)+12*(YEAR(AB$16)-YEAR(InicioFuncion))+1,0,IF($E47&lt;=(MONTH(AB$16)-MONTH(InicioFuncion)+12*(YEAR(AB$16)-YEAR(InicioFuncion)))-$D47+IF($D47&lt;&gt;"",1,0),0,IF(AB$15&gt;$B$9,0,IF((YEAR($B$8)-YEAR($B$7))*12+(MONTH($B$8)-MONTH($B$7))+$E$14&lt;=AA$14,$C47))))*HLOOKUP(YEAR(AB$16),$E$3:$O$5,3,0),0)))</f>
        <v>628487.76899999997</v>
      </c>
      <c r="AC47" s="1">
        <f t="shared" ref="AC47:AC49" si="226">+(IF($A47="","",IF(AC$15&gt;12,IF($D47&gt;MONTH(AC$16)-MONTH(InicioFuncion)+12*(YEAR(AC$16)-YEAR(InicioFuncion))+1,0,IF($E47&lt;=(MONTH(AC$16)-MONTH(InicioFuncion)+12*(YEAR(AC$16)-YEAR(InicioFuncion)))-$D47+IF($D47&lt;&gt;"",1,0),0,IF(AC$15&gt;$B$9,0,IF((YEAR($B$8)-YEAR($B$7))*12+(MONTH($B$8)-MONTH($B$7))+$E$14&lt;=AB$14,$C47))))*HLOOKUP(YEAR(AC$16),$E$3:$O$5,3,0),0)))</f>
        <v>628487.76899999997</v>
      </c>
      <c r="AD47" s="1">
        <f t="shared" ref="AD47:AD49" si="227">+(IF($A47="","",IF(AD$15&gt;12,IF($D47&gt;MONTH(AD$16)-MONTH(InicioFuncion)+12*(YEAR(AD$16)-YEAR(InicioFuncion))+1,0,IF($E47&lt;=(MONTH(AD$16)-MONTH(InicioFuncion)+12*(YEAR(AD$16)-YEAR(InicioFuncion)))-$D47+IF($D47&lt;&gt;"",1,0),0,IF(AD$15&gt;$B$9,0,IF((YEAR($B$8)-YEAR($B$7))*12+(MONTH($B$8)-MONTH($B$7))+$E$14&lt;=AC$14,$C47))))*HLOOKUP(YEAR(AD$16),$E$3:$O$5,3,0),0)))</f>
        <v>628487.76899999997</v>
      </c>
      <c r="AE47" s="1">
        <f t="shared" ref="AE47:AE49" si="228">+(IF($A47="","",IF(AE$15&gt;12,IF($D47&gt;MONTH(AE$16)-MONTH(InicioFuncion)+12*(YEAR(AE$16)-YEAR(InicioFuncion))+1,0,IF($E47&lt;=(MONTH(AE$16)-MONTH(InicioFuncion)+12*(YEAR(AE$16)-YEAR(InicioFuncion)))-$D47+IF($D47&lt;&gt;"",1,0),0,IF(AE$15&gt;$B$9,0,IF((YEAR($B$8)-YEAR($B$7))*12+(MONTH($B$8)-MONTH($B$7))+$E$14&lt;=AD$14,$C47))))*HLOOKUP(YEAR(AE$16),$E$3:$O$5,3,0),0)))</f>
        <v>628487.76899999997</v>
      </c>
      <c r="AF47" s="1">
        <f t="shared" ref="AF47:AF49" si="229">+(IF($A47="","",IF(AF$15&gt;12,IF($D47&gt;MONTH(AF$16)-MONTH(InicioFuncion)+12*(YEAR(AF$16)-YEAR(InicioFuncion))+1,0,IF($E47&lt;=(MONTH(AF$16)-MONTH(InicioFuncion)+12*(YEAR(AF$16)-YEAR(InicioFuncion)))-$D47+IF($D47&lt;&gt;"",1,0),0,IF(AF$15&gt;$B$9,0,IF((YEAR($B$8)-YEAR($B$7))*12+(MONTH($B$8)-MONTH($B$7))+$E$14&lt;=AE$14,$C47))))*HLOOKUP(YEAR(AF$16),$E$3:$O$5,3,0),0)))</f>
        <v>628487.76899999997</v>
      </c>
      <c r="AG47" s="1">
        <f t="shared" ref="AG47:AG49" si="230">+(IF($A47="","",IF(AG$15&gt;12,IF($D47&gt;MONTH(AG$16)-MONTH(InicioFuncion)+12*(YEAR(AG$16)-YEAR(InicioFuncion))+1,0,IF($E47&lt;=(MONTH(AG$16)-MONTH(InicioFuncion)+12*(YEAR(AG$16)-YEAR(InicioFuncion)))-$D47+IF($D47&lt;&gt;"",1,0),0,IF(AG$15&gt;$B$9,0,IF((YEAR($B$8)-YEAR($B$7))*12+(MONTH($B$8)-MONTH($B$7))+$E$14&lt;=AF$14,$C47))))*HLOOKUP(YEAR(AG$16),$E$3:$O$5,3,0),0)))</f>
        <v>628487.76899999997</v>
      </c>
      <c r="AH47" s="1">
        <f t="shared" ref="AH47:AH49" si="231">+(IF($A47="","",IF(AH$15&gt;12,IF($D47&gt;MONTH(AH$16)-MONTH(InicioFuncion)+12*(YEAR(AH$16)-YEAR(InicioFuncion))+1,0,IF($E47&lt;=(MONTH(AH$16)-MONTH(InicioFuncion)+12*(YEAR(AH$16)-YEAR(InicioFuncion)))-$D47+IF($D47&lt;&gt;"",1,0),0,IF(AH$15&gt;$B$9,0,IF((YEAR($B$8)-YEAR($B$7))*12+(MONTH($B$8)-MONTH($B$7))+$E$14&lt;=AG$14,$C47))))*HLOOKUP(YEAR(AH$16),$E$3:$O$5,3,0),0)))</f>
        <v>628487.76899999997</v>
      </c>
      <c r="AI47" s="1">
        <f t="shared" ref="AI47:AI49" si="232">+(IF($A47="","",IF(AI$15&gt;12,IF($D47&gt;MONTH(AI$16)-MONTH(InicioFuncion)+12*(YEAR(AI$16)-YEAR(InicioFuncion))+1,0,IF($E47&lt;=(MONTH(AI$16)-MONTH(InicioFuncion)+12*(YEAR(AI$16)-YEAR(InicioFuncion)))-$D47+IF($D47&lt;&gt;"",1,0),0,IF(AI$15&gt;$B$9,0,IF((YEAR($B$8)-YEAR($B$7))*12+(MONTH($B$8)-MONTH($B$7))+$E$14&lt;=AH$14,$C47))))*HLOOKUP(YEAR(AI$16),$E$3:$O$5,3,0),0)))</f>
        <v>628487.76899999997</v>
      </c>
      <c r="AJ47" s="1">
        <f t="shared" ref="AJ47:AJ49" si="233">+(IF($A47="","",IF(AJ$15&gt;12,IF($D47&gt;MONTH(AJ$16)-MONTH(InicioFuncion)+12*(YEAR(AJ$16)-YEAR(InicioFuncion))+1,0,IF($E47&lt;=(MONTH(AJ$16)-MONTH(InicioFuncion)+12*(YEAR(AJ$16)-YEAR(InicioFuncion)))-$D47+IF($D47&lt;&gt;"",1,0),0,IF(AJ$15&gt;$B$9,0,IF((YEAR($B$8)-YEAR($B$7))*12+(MONTH($B$8)-MONTH($B$7))+$E$14&lt;=AI$14,$C47))))*HLOOKUP(YEAR(AJ$16),$E$3:$O$5,3,0),0)))</f>
        <v>628487.76899999997</v>
      </c>
      <c r="AK47" s="1">
        <f t="shared" ref="AK47:AK49" si="234">+(IF($A47="","",IF(AK$15&gt;12,IF($D47&gt;MONTH(AK$16)-MONTH(InicioFuncion)+12*(YEAR(AK$16)-YEAR(InicioFuncion))+1,0,IF($E47&lt;=(MONTH(AK$16)-MONTH(InicioFuncion)+12*(YEAR(AK$16)-YEAR(InicioFuncion)))-$D47+IF($D47&lt;&gt;"",1,0),0,IF(AK$15&gt;$B$9,0,IF((YEAR($B$8)-YEAR($B$7))*12+(MONTH($B$8)-MONTH($B$7))+$E$14&lt;=AJ$14,$C47))))*HLOOKUP(YEAR(AK$16),$E$3:$O$5,3,0),0)))</f>
        <v>628487.76899999997</v>
      </c>
      <c r="AL47" s="1">
        <f t="shared" ref="AL47:AL49" si="235">+(IF($A47="","",IF(AL$15&gt;12,IF($D47&gt;MONTH(AL$16)-MONTH(InicioFuncion)+12*(YEAR(AL$16)-YEAR(InicioFuncion))+1,0,IF($E47&lt;=(MONTH(AL$16)-MONTH(InicioFuncion)+12*(YEAR(AL$16)-YEAR(InicioFuncion)))-$D47+IF($D47&lt;&gt;"",1,0),0,IF(AL$15&gt;$B$9,0,IF((YEAR($B$8)-YEAR($B$7))*12+(MONTH($B$8)-MONTH($B$7))+$E$14&lt;=AK$14,$C47))))*HLOOKUP(YEAR(AL$16),$E$3:$O$5,3,0),0)))</f>
        <v>647342.40206999995</v>
      </c>
      <c r="AM47" s="1">
        <f t="shared" ref="AM47:AM49" si="236">+(IF($A47="","",IF(AM$15&gt;12,IF($D47&gt;MONTH(AM$16)-MONTH(InicioFuncion)+12*(YEAR(AM$16)-YEAR(InicioFuncion))+1,0,IF($E47&lt;=(MONTH(AM$16)-MONTH(InicioFuncion)+12*(YEAR(AM$16)-YEAR(InicioFuncion)))-$D47+IF($D47&lt;&gt;"",1,0),0,IF(AM$15&gt;$B$9,0,IF((YEAR($B$8)-YEAR($B$7))*12+(MONTH($B$8)-MONTH($B$7))+$E$14&lt;=AL$14,$C47))))*HLOOKUP(YEAR(AM$16),$E$3:$O$5,3,0),0)))</f>
        <v>647342.40206999995</v>
      </c>
      <c r="AN47" s="1">
        <f t="shared" ref="AN47:AN49" si="237">+(IF($A47="","",IF(AN$15&gt;12,IF($D47&gt;MONTH(AN$16)-MONTH(InicioFuncion)+12*(YEAR(AN$16)-YEAR(InicioFuncion))+1,0,IF($E47&lt;=(MONTH(AN$16)-MONTH(InicioFuncion)+12*(YEAR(AN$16)-YEAR(InicioFuncion)))-$D47+IF($D47&lt;&gt;"",1,0),0,IF(AN$15&gt;$B$9,0,IF((YEAR($B$8)-YEAR($B$7))*12+(MONTH($B$8)-MONTH($B$7))+$E$14&lt;=AM$14,$C47))))*HLOOKUP(YEAR(AN$16),$E$3:$O$5,3,0),0)))</f>
        <v>647342.40206999995</v>
      </c>
      <c r="AO47" s="1">
        <f t="shared" ref="AO47:AO49" si="238">+(IF($A47="","",IF(AO$15&gt;12,IF($D47&gt;MONTH(AO$16)-MONTH(InicioFuncion)+12*(YEAR(AO$16)-YEAR(InicioFuncion))+1,0,IF($E47&lt;=(MONTH(AO$16)-MONTH(InicioFuncion)+12*(YEAR(AO$16)-YEAR(InicioFuncion)))-$D47+IF($D47&lt;&gt;"",1,0),0,IF(AO$15&gt;$B$9,0,IF((YEAR($B$8)-YEAR($B$7))*12+(MONTH($B$8)-MONTH($B$7))+$E$14&lt;=AN$14,$C47))))*HLOOKUP(YEAR(AO$16),$E$3:$O$5,3,0),0)))</f>
        <v>647342.40206999995</v>
      </c>
      <c r="AP47" s="1">
        <f t="shared" ref="AP47:AP49" si="239">+(IF($A47="","",IF(AP$15&gt;12,IF($D47&gt;MONTH(AP$16)-MONTH(InicioFuncion)+12*(YEAR(AP$16)-YEAR(InicioFuncion))+1,0,IF($E47&lt;=(MONTH(AP$16)-MONTH(InicioFuncion)+12*(YEAR(AP$16)-YEAR(InicioFuncion)))-$D47+IF($D47&lt;&gt;"",1,0),0,IF(AP$15&gt;$B$9,0,IF((YEAR($B$8)-YEAR($B$7))*12+(MONTH($B$8)-MONTH($B$7))+$E$14&lt;=AO$14,$C47))))*HLOOKUP(YEAR(AP$16),$E$3:$O$5,3,0),0)))</f>
        <v>647342.40206999995</v>
      </c>
      <c r="AQ47" s="1">
        <f t="shared" ref="AQ47:AQ49" si="240">+(IF($A47="","",IF(AQ$15&gt;12,IF($D47&gt;MONTH(AQ$16)-MONTH(InicioFuncion)+12*(YEAR(AQ$16)-YEAR(InicioFuncion))+1,0,IF($E47&lt;=(MONTH(AQ$16)-MONTH(InicioFuncion)+12*(YEAR(AQ$16)-YEAR(InicioFuncion)))-$D47+IF($D47&lt;&gt;"",1,0),0,IF(AQ$15&gt;$B$9,0,IF((YEAR($B$8)-YEAR($B$7))*12+(MONTH($B$8)-MONTH($B$7))+$E$14&lt;=AP$14,$C47))))*HLOOKUP(YEAR(AQ$16),$E$3:$O$5,3,0),0)))</f>
        <v>647342.40206999995</v>
      </c>
      <c r="AR47" s="1">
        <f t="shared" ref="AR47:AR49" si="241">+(IF($A47="","",IF(AR$15&gt;12,IF($D47&gt;MONTH(AR$16)-MONTH(InicioFuncion)+12*(YEAR(AR$16)-YEAR(InicioFuncion))+1,0,IF($E47&lt;=(MONTH(AR$16)-MONTH(InicioFuncion)+12*(YEAR(AR$16)-YEAR(InicioFuncion)))-$D47+IF($D47&lt;&gt;"",1,0),0,IF(AR$15&gt;$B$9,0,IF((YEAR($B$8)-YEAR($B$7))*12+(MONTH($B$8)-MONTH($B$7))+$E$14&lt;=AQ$14,$C47))))*HLOOKUP(YEAR(AR$16),$E$3:$O$5,3,0),0)))</f>
        <v>647342.40206999995</v>
      </c>
      <c r="AS47" s="1">
        <f t="shared" ref="AS47:AS49" si="242">+(IF($A47="","",IF(AS$15&gt;12,IF($D47&gt;MONTH(AS$16)-MONTH(InicioFuncion)+12*(YEAR(AS$16)-YEAR(InicioFuncion))+1,0,IF($E47&lt;=(MONTH(AS$16)-MONTH(InicioFuncion)+12*(YEAR(AS$16)-YEAR(InicioFuncion)))-$D47+IF($D47&lt;&gt;"",1,0),0,IF(AS$15&gt;$B$9,0,IF((YEAR($B$8)-YEAR($B$7))*12+(MONTH($B$8)-MONTH($B$7))+$E$14&lt;=AR$14,$C47))))*HLOOKUP(YEAR(AS$16),$E$3:$O$5,3,0),0)))</f>
        <v>647342.40206999995</v>
      </c>
      <c r="AT47" s="1">
        <f t="shared" ref="AT47:AT49" si="243">+(IF($A47="","",IF(AT$15&gt;12,IF($D47&gt;MONTH(AT$16)-MONTH(InicioFuncion)+12*(YEAR(AT$16)-YEAR(InicioFuncion))+1,0,IF($E47&lt;=(MONTH(AT$16)-MONTH(InicioFuncion)+12*(YEAR(AT$16)-YEAR(InicioFuncion)))-$D47+IF($D47&lt;&gt;"",1,0),0,IF(AT$15&gt;$B$9,0,IF((YEAR($B$8)-YEAR($B$7))*12+(MONTH($B$8)-MONTH($B$7))+$E$14&lt;=AS$14,$C47))))*HLOOKUP(YEAR(AT$16),$E$3:$O$5,3,0),0)))</f>
        <v>647342.40206999995</v>
      </c>
      <c r="AU47" s="1">
        <f t="shared" ref="AU47:AU49" si="244">+(IF($A47="","",IF(AU$15&gt;12,IF($D47&gt;MONTH(AU$16)-MONTH(InicioFuncion)+12*(YEAR(AU$16)-YEAR(InicioFuncion))+1,0,IF($E47&lt;=(MONTH(AU$16)-MONTH(InicioFuncion)+12*(YEAR(AU$16)-YEAR(InicioFuncion)))-$D47+IF($D47&lt;&gt;"",1,0),0,IF(AU$15&gt;$B$9,0,IF((YEAR($B$8)-YEAR($B$7))*12+(MONTH($B$8)-MONTH($B$7))+$E$14&lt;=AT$14,$C47))))*HLOOKUP(YEAR(AU$16),$E$3:$O$5,3,0),0)))</f>
        <v>647342.40206999995</v>
      </c>
      <c r="AV47" s="1">
        <f t="shared" ref="AV47:AV49" si="245">+(IF($A47="","",IF(AV$15&gt;12,IF($D47&gt;MONTH(AV$16)-MONTH(InicioFuncion)+12*(YEAR(AV$16)-YEAR(InicioFuncion))+1,0,IF($E47&lt;=(MONTH(AV$16)-MONTH(InicioFuncion)+12*(YEAR(AV$16)-YEAR(InicioFuncion)))-$D47+IF($D47&lt;&gt;"",1,0),0,IF(AV$15&gt;$B$9,0,IF((YEAR($B$8)-YEAR($B$7))*12+(MONTH($B$8)-MONTH($B$7))+$E$14&lt;=AU$14,$C47))))*HLOOKUP(YEAR(AV$16),$E$3:$O$5,3,0),0)))</f>
        <v>647342.40206999995</v>
      </c>
      <c r="AW47" s="1">
        <f t="shared" ref="AW47:AW49" si="246">+(IF($A47="","",IF(AW$15&gt;12,IF($D47&gt;MONTH(AW$16)-MONTH(InicioFuncion)+12*(YEAR(AW$16)-YEAR(InicioFuncion))+1,0,IF($E47&lt;=(MONTH(AW$16)-MONTH(InicioFuncion)+12*(YEAR(AW$16)-YEAR(InicioFuncion)))-$D47+IF($D47&lt;&gt;"",1,0),0,IF(AW$15&gt;$B$9,0,IF((YEAR($B$8)-YEAR($B$7))*12+(MONTH($B$8)-MONTH($B$7))+$E$14&lt;=AV$14,$C47))))*HLOOKUP(YEAR(AW$16),$E$3:$O$5,3,0),0)))</f>
        <v>647342.40206999995</v>
      </c>
      <c r="AX47" s="1">
        <f t="shared" ref="AX47:AX49" si="247">+(IF($A47="","",IF(AX$15&gt;12,IF($D47&gt;MONTH(AX$16)-MONTH(InicioFuncion)+12*(YEAR(AX$16)-YEAR(InicioFuncion))+1,0,IF($E47&lt;=(MONTH(AX$16)-MONTH(InicioFuncion)+12*(YEAR(AX$16)-YEAR(InicioFuncion)))-$D47+IF($D47&lt;&gt;"",1,0),0,IF(AX$15&gt;$B$9,0,IF((YEAR($B$8)-YEAR($B$7))*12+(MONTH($B$8)-MONTH($B$7))+$E$14&lt;=AW$14,$C47))))*HLOOKUP(YEAR(AX$16),$E$3:$O$5,3,0),0)))</f>
        <v>666762.67413210007</v>
      </c>
      <c r="AY47" s="1">
        <f t="shared" ref="AY47:AY49" si="248">+(IF($A47="","",IF(AY$15&gt;12,IF($D47&gt;MONTH(AY$16)-MONTH(InicioFuncion)+12*(YEAR(AY$16)-YEAR(InicioFuncion))+1,0,IF($E47&lt;=(MONTH(AY$16)-MONTH(InicioFuncion)+12*(YEAR(AY$16)-YEAR(InicioFuncion)))-$D47+IF($D47&lt;&gt;"",1,0),0,IF(AY$15&gt;$B$9,0,IF((YEAR($B$8)-YEAR($B$7))*12+(MONTH($B$8)-MONTH($B$7))+$E$14&lt;=AX$14,$C47))))*HLOOKUP(YEAR(AY$16),$E$3:$O$5,3,0),0)))</f>
        <v>666762.67413210007</v>
      </c>
      <c r="AZ47" s="1">
        <f t="shared" ref="AZ47:AZ49" si="249">+(IF($A47="","",IF(AZ$15&gt;12,IF($D47&gt;MONTH(AZ$16)-MONTH(InicioFuncion)+12*(YEAR(AZ$16)-YEAR(InicioFuncion))+1,0,IF($E47&lt;=(MONTH(AZ$16)-MONTH(InicioFuncion)+12*(YEAR(AZ$16)-YEAR(InicioFuncion)))-$D47+IF($D47&lt;&gt;"",1,0),0,IF(AZ$15&gt;$B$9,0,IF((YEAR($B$8)-YEAR($B$7))*12+(MONTH($B$8)-MONTH($B$7))+$E$14&lt;=AY$14,$C47))))*HLOOKUP(YEAR(AZ$16),$E$3:$O$5,3,0),0)))</f>
        <v>666762.67413210007</v>
      </c>
      <c r="BA47" s="1">
        <f t="shared" ref="BA47:BA49" si="250">+(IF($A47="","",IF(BA$15&gt;12,IF($D47&gt;MONTH(BA$16)-MONTH(InicioFuncion)+12*(YEAR(BA$16)-YEAR(InicioFuncion))+1,0,IF($E47&lt;=(MONTH(BA$16)-MONTH(InicioFuncion)+12*(YEAR(BA$16)-YEAR(InicioFuncion)))-$D47+IF($D47&lt;&gt;"",1,0),0,IF(BA$15&gt;$B$9,0,IF((YEAR($B$8)-YEAR($B$7))*12+(MONTH($B$8)-MONTH($B$7))+$E$14&lt;=AZ$14,$C47))))*HLOOKUP(YEAR(BA$16),$E$3:$O$5,3,0),0)))</f>
        <v>666762.67413210007</v>
      </c>
      <c r="BB47" s="1">
        <f t="shared" ref="BB47:BB49" si="251">+(IF($A47="","",IF(BB$15&gt;12,IF($D47&gt;MONTH(BB$16)-MONTH(InicioFuncion)+12*(YEAR(BB$16)-YEAR(InicioFuncion))+1,0,IF($E47&lt;=(MONTH(BB$16)-MONTH(InicioFuncion)+12*(YEAR(BB$16)-YEAR(InicioFuncion)))-$D47+IF($D47&lt;&gt;"",1,0),0,IF(BB$15&gt;$B$9,0,IF((YEAR($B$8)-YEAR($B$7))*12+(MONTH($B$8)-MONTH($B$7))+$E$14&lt;=BA$14,$C47))))*HLOOKUP(YEAR(BB$16),$E$3:$O$5,3,0),0)))</f>
        <v>666762.67413210007</v>
      </c>
      <c r="BC47" s="1">
        <f t="shared" ref="BC47:BC49" si="252">+(IF($A47="","",IF(BC$15&gt;12,IF($D47&gt;MONTH(BC$16)-MONTH(InicioFuncion)+12*(YEAR(BC$16)-YEAR(InicioFuncion))+1,0,IF($E47&lt;=(MONTH(BC$16)-MONTH(InicioFuncion)+12*(YEAR(BC$16)-YEAR(InicioFuncion)))-$D47+IF($D47&lt;&gt;"",1,0),0,IF(BC$15&gt;$B$9,0,IF((YEAR($B$8)-YEAR($B$7))*12+(MONTH($B$8)-MONTH($B$7))+$E$14&lt;=BB$14,$C47))))*HLOOKUP(YEAR(BC$16),$E$3:$O$5,3,0),0)))</f>
        <v>666762.67413210007</v>
      </c>
      <c r="BD47" s="1">
        <f t="shared" ref="BD47:BD49" si="253">+(IF($A47="","",IF(BD$15&gt;12,IF($D47&gt;MONTH(BD$16)-MONTH(InicioFuncion)+12*(YEAR(BD$16)-YEAR(InicioFuncion))+1,0,IF($E47&lt;=(MONTH(BD$16)-MONTH(InicioFuncion)+12*(YEAR(BD$16)-YEAR(InicioFuncion)))-$D47+IF($D47&lt;&gt;"",1,0),0,IF(BD$15&gt;$B$9,0,IF((YEAR($B$8)-YEAR($B$7))*12+(MONTH($B$8)-MONTH($B$7))+$E$14&lt;=BC$14,$C47))))*HLOOKUP(YEAR(BD$16),$E$3:$O$5,3,0),0)))</f>
        <v>666762.67413210007</v>
      </c>
      <c r="BE47" s="1">
        <f t="shared" ref="BE47:BE49" si="254">+(IF($A47="","",IF(BE$15&gt;12,IF($D47&gt;MONTH(BE$16)-MONTH(InicioFuncion)+12*(YEAR(BE$16)-YEAR(InicioFuncion))+1,0,IF($E47&lt;=(MONTH(BE$16)-MONTH(InicioFuncion)+12*(YEAR(BE$16)-YEAR(InicioFuncion)))-$D47+IF($D47&lt;&gt;"",1,0),0,IF(BE$15&gt;$B$9,0,IF((YEAR($B$8)-YEAR($B$7))*12+(MONTH($B$8)-MONTH($B$7))+$E$14&lt;=BD$14,$C47))))*HLOOKUP(YEAR(BE$16),$E$3:$O$5,3,0),0)))</f>
        <v>666762.67413210007</v>
      </c>
      <c r="BF47" s="1">
        <f t="shared" ref="BF47:BF49" si="255">+(IF($A47="","",IF(BF$15&gt;12,IF($D47&gt;MONTH(BF$16)-MONTH(InicioFuncion)+12*(YEAR(BF$16)-YEAR(InicioFuncion))+1,0,IF($E47&lt;=(MONTH(BF$16)-MONTH(InicioFuncion)+12*(YEAR(BF$16)-YEAR(InicioFuncion)))-$D47+IF($D47&lt;&gt;"",1,0),0,IF(BF$15&gt;$B$9,0,IF((YEAR($B$8)-YEAR($B$7))*12+(MONTH($B$8)-MONTH($B$7))+$E$14&lt;=BE$14,$C47))))*HLOOKUP(YEAR(BF$16),$E$3:$O$5,3,0),0)))</f>
        <v>666762.67413210007</v>
      </c>
      <c r="BG47" s="1">
        <f t="shared" ref="BG47:BG49" si="256">+(IF($A47="","",IF(BG$15&gt;12,IF($D47&gt;MONTH(BG$16)-MONTH(InicioFuncion)+12*(YEAR(BG$16)-YEAR(InicioFuncion))+1,0,IF($E47&lt;=(MONTH(BG$16)-MONTH(InicioFuncion)+12*(YEAR(BG$16)-YEAR(InicioFuncion)))-$D47+IF($D47&lt;&gt;"",1,0),0,IF(BG$15&gt;$B$9,0,IF((YEAR($B$8)-YEAR($B$7))*12+(MONTH($B$8)-MONTH($B$7))+$E$14&lt;=BF$14,$C47))))*HLOOKUP(YEAR(BG$16),$E$3:$O$5,3,0),0)))</f>
        <v>666762.67413210007</v>
      </c>
      <c r="BH47" s="1">
        <f t="shared" ref="BH47:BH49" si="257">+(IF($A47="","",IF(BH$15&gt;12,IF($D47&gt;MONTH(BH$16)-MONTH(InicioFuncion)+12*(YEAR(BH$16)-YEAR(InicioFuncion))+1,0,IF($E47&lt;=(MONTH(BH$16)-MONTH(InicioFuncion)+12*(YEAR(BH$16)-YEAR(InicioFuncion)))-$D47+IF($D47&lt;&gt;"",1,0),0,IF(BH$15&gt;$B$9,0,IF((YEAR($B$8)-YEAR($B$7))*12+(MONTH($B$8)-MONTH($B$7))+$E$14&lt;=BG$14,$C47))))*HLOOKUP(YEAR(BH$16),$E$3:$O$5,3,0),0)))</f>
        <v>666762.67413210007</v>
      </c>
      <c r="BI47" s="1">
        <f t="shared" ref="BI47:BI49" si="258">+(IF($A47="","",IF(BI$15&gt;12,IF($D47&gt;MONTH(BI$16)-MONTH(InicioFuncion)+12*(YEAR(BI$16)-YEAR(InicioFuncion))+1,0,IF($E47&lt;=(MONTH(BI$16)-MONTH(InicioFuncion)+12*(YEAR(BI$16)-YEAR(InicioFuncion)))-$D47+IF($D47&lt;&gt;"",1,0),0,IF(BI$15&gt;$B$9,0,IF((YEAR($B$8)-YEAR($B$7))*12+(MONTH($B$8)-MONTH($B$7))+$E$14&lt;=BH$14,$C47))))*HLOOKUP(YEAR(BI$16),$E$3:$O$5,3,0),0)))</f>
        <v>666762.67413210007</v>
      </c>
      <c r="BJ47" s="1">
        <f t="shared" ref="BJ47:BJ49" si="259">+(IF($A47="","",IF(BJ$15&gt;12,IF($D47&gt;MONTH(BJ$16)-MONTH(InicioFuncion)+12*(YEAR(BJ$16)-YEAR(InicioFuncion))+1,0,IF($E47&lt;=(MONTH(BJ$16)-MONTH(InicioFuncion)+12*(YEAR(BJ$16)-YEAR(InicioFuncion)))-$D47+IF($D47&lt;&gt;"",1,0),0,IF(BJ$15&gt;$B$9,0,IF((YEAR($B$8)-YEAR($B$7))*12+(MONTH($B$8)-MONTH($B$7))+$E$14&lt;=BI$14,$C47))))*HLOOKUP(YEAR(BJ$16),$E$3:$O$5,3,0),0)))</f>
        <v>686765.55435606302</v>
      </c>
      <c r="BK47" s="1">
        <f t="shared" ref="BK47:BK49" si="260">+(IF($A47="","",IF(BK$15&gt;12,IF($D47&gt;MONTH(BK$16)-MONTH(InicioFuncion)+12*(YEAR(BK$16)-YEAR(InicioFuncion))+1,0,IF($E47&lt;=(MONTH(BK$16)-MONTH(InicioFuncion)+12*(YEAR(BK$16)-YEAR(InicioFuncion)))-$D47+IF($D47&lt;&gt;"",1,0),0,IF(BK$15&gt;$B$9,0,IF((YEAR($B$8)-YEAR($B$7))*12+(MONTH($B$8)-MONTH($B$7))+$E$14&lt;=BJ$14,$C47))))*HLOOKUP(YEAR(BK$16),$E$3:$O$5,3,0),0)))</f>
        <v>0</v>
      </c>
      <c r="BL47" s="1">
        <f t="shared" ref="BL47:BL49" si="261">+(IF($A47="","",IF(BL$15&gt;12,IF($D47&gt;MONTH(BL$16)-MONTH(InicioFuncion)+12*(YEAR(BL$16)-YEAR(InicioFuncion))+1,0,IF($E47&lt;=(MONTH(BL$16)-MONTH(InicioFuncion)+12*(YEAR(BL$16)-YEAR(InicioFuncion)))-$D47+IF($D47&lt;&gt;"",1,0),0,IF(BL$15&gt;$B$9,0,IF((YEAR($B$8)-YEAR($B$7))*12+(MONTH($B$8)-MONTH($B$7))+$E$14&lt;=BK$14,$C47))))*HLOOKUP(YEAR(BL$16),$E$3:$O$5,3,0),0)))</f>
        <v>0</v>
      </c>
      <c r="BM47" s="1">
        <f t="shared" ref="BM47:BM49" si="262">+(IF($A47="","",IF(BM$15&gt;12,IF($D47&gt;MONTH(BM$16)-MONTH(InicioFuncion)+12*(YEAR(BM$16)-YEAR(InicioFuncion))+1,0,IF($E47&lt;=(MONTH(BM$16)-MONTH(InicioFuncion)+12*(YEAR(BM$16)-YEAR(InicioFuncion)))-$D47+IF($D47&lt;&gt;"",1,0),0,IF(BM$15&gt;$B$9,0,IF((YEAR($B$8)-YEAR($B$7))*12+(MONTH($B$8)-MONTH($B$7))+$E$14&lt;=BL$14,$C47))))*HLOOKUP(YEAR(BM$16),$E$3:$O$5,3,0),0)))</f>
        <v>0</v>
      </c>
      <c r="BN47" s="1">
        <f t="shared" ref="BN47:BN49" si="263">+(IF($A47="","",IF(BN$15&gt;12,IF($D47&gt;MONTH(BN$16)-MONTH(InicioFuncion)+12*(YEAR(BN$16)-YEAR(InicioFuncion))+1,0,IF($E47&lt;=(MONTH(BN$16)-MONTH(InicioFuncion)+12*(YEAR(BN$16)-YEAR(InicioFuncion)))-$D47+IF($D47&lt;&gt;"",1,0),0,IF(BN$15&gt;$B$9,0,IF((YEAR($B$8)-YEAR($B$7))*12+(MONTH($B$8)-MONTH($B$7))+$E$14&lt;=BM$14,$C47))))*HLOOKUP(YEAR(BN$16),$E$3:$O$5,3,0),0)))</f>
        <v>0</v>
      </c>
      <c r="BO47" s="1">
        <f t="shared" ref="BO47:BO49" si="264">+(IF($A47="","",IF(BO$15&gt;12,IF($D47&gt;MONTH(BO$16)-MONTH(InicioFuncion)+12*(YEAR(BO$16)-YEAR(InicioFuncion))+1,0,IF($E47&lt;=(MONTH(BO$16)-MONTH(InicioFuncion)+12*(YEAR(BO$16)-YEAR(InicioFuncion)))-$D47+IF($D47&lt;&gt;"",1,0),0,IF(BO$15&gt;$B$9,0,IF((YEAR($B$8)-YEAR($B$7))*12+(MONTH($B$8)-MONTH($B$7))+$E$14&lt;=BN$14,$C47))))*HLOOKUP(YEAR(BO$16),$E$3:$O$5,3,0),0)))</f>
        <v>0</v>
      </c>
      <c r="BP47" s="1">
        <f t="shared" ref="BP47:BP49" si="265">+(IF($A47="","",IF(BP$15&gt;12,IF($D47&gt;MONTH(BP$16)-MONTH(InicioFuncion)+12*(YEAR(BP$16)-YEAR(InicioFuncion))+1,0,IF($E47&lt;=(MONTH(BP$16)-MONTH(InicioFuncion)+12*(YEAR(BP$16)-YEAR(InicioFuncion)))-$D47+IF($D47&lt;&gt;"",1,0),0,IF(BP$15&gt;$B$9,0,IF((YEAR($B$8)-YEAR($B$7))*12+(MONTH($B$8)-MONTH($B$7))+$E$14&lt;=BO$14,$C47))))*HLOOKUP(YEAR(BP$16),$E$3:$O$5,3,0),0)))</f>
        <v>0</v>
      </c>
      <c r="BQ47" s="1">
        <f t="shared" ref="BQ47:BQ49" si="266">+(IF($A47="","",IF(BQ$15&gt;12,IF($D47&gt;MONTH(BQ$16)-MONTH(InicioFuncion)+12*(YEAR(BQ$16)-YEAR(InicioFuncion))+1,0,IF($E47&lt;=(MONTH(BQ$16)-MONTH(InicioFuncion)+12*(YEAR(BQ$16)-YEAR(InicioFuncion)))-$D47+IF($D47&lt;&gt;"",1,0),0,IF(BQ$15&gt;$B$9,0,IF((YEAR($B$8)-YEAR($B$7))*12+(MONTH($B$8)-MONTH($B$7))+$E$14&lt;=BP$14,$C47))))*HLOOKUP(YEAR(BQ$16),$E$3:$O$5,3,0),0)))</f>
        <v>0</v>
      </c>
      <c r="BR47" s="1">
        <f t="shared" ref="BR47:BR49" si="267">+(IF($A47="","",IF(BR$15&gt;12,IF($D47&gt;MONTH(BR$16)-MONTH(InicioFuncion)+12*(YEAR(BR$16)-YEAR(InicioFuncion))+1,0,IF($E47&lt;=(MONTH(BR$16)-MONTH(InicioFuncion)+12*(YEAR(BR$16)-YEAR(InicioFuncion)))-$D47+IF($D47&lt;&gt;"",1,0),0,IF(BR$15&gt;$B$9,0,IF((YEAR($B$8)-YEAR($B$7))*12+(MONTH($B$8)-MONTH($B$7))+$E$14&lt;=BQ$14,$C47))))*HLOOKUP(YEAR(BR$16),$E$3:$O$5,3,0),0)))</f>
        <v>0</v>
      </c>
      <c r="BS47" s="1">
        <f t="shared" ref="BS47:BS49" si="268">+(IF($A47="","",IF(BS$15&gt;12,IF($D47&gt;MONTH(BS$16)-MONTH(InicioFuncion)+12*(YEAR(BS$16)-YEAR(InicioFuncion))+1,0,IF($E47&lt;=(MONTH(BS$16)-MONTH(InicioFuncion)+12*(YEAR(BS$16)-YEAR(InicioFuncion)))-$D47+IF($D47&lt;&gt;"",1,0),0,IF(BS$15&gt;$B$9,0,IF((YEAR($B$8)-YEAR($B$7))*12+(MONTH($B$8)-MONTH($B$7))+$E$14&lt;=BR$14,$C47))))*HLOOKUP(YEAR(BS$16),$E$3:$O$5,3,0),0)))</f>
        <v>0</v>
      </c>
      <c r="BT47" s="1">
        <f t="shared" ref="BT47:BT49" si="269">+(IF($A47="","",IF(BT$15&gt;12,IF($D47&gt;MONTH(BT$16)-MONTH(InicioFuncion)+12*(YEAR(BT$16)-YEAR(InicioFuncion))+1,0,IF($E47&lt;=(MONTH(BT$16)-MONTH(InicioFuncion)+12*(YEAR(BT$16)-YEAR(InicioFuncion)))-$D47+IF($D47&lt;&gt;"",1,0),0,IF(BT$15&gt;$B$9,0,IF((YEAR($B$8)-YEAR($B$7))*12+(MONTH($B$8)-MONTH($B$7))+$E$14&lt;=BS$14,$C47))))*HLOOKUP(YEAR(BT$16),$E$3:$O$5,3,0),0)))</f>
        <v>0</v>
      </c>
      <c r="BU47" s="1">
        <f t="shared" ref="BU47:BU49" si="270">+(IF($A47="","",IF(BU$15&gt;12,IF($D47&gt;MONTH(BU$16)-MONTH(InicioFuncion)+12*(YEAR(BU$16)-YEAR(InicioFuncion))+1,0,IF($E47&lt;=(MONTH(BU$16)-MONTH(InicioFuncion)+12*(YEAR(BU$16)-YEAR(InicioFuncion)))-$D47+IF($D47&lt;&gt;"",1,0),0,IF(BU$15&gt;$B$9,0,IF((YEAR($B$8)-YEAR($B$7))*12+(MONTH($B$8)-MONTH($B$7))+$E$14&lt;=BT$14,$C47))))*HLOOKUP(YEAR(BU$16),$E$3:$O$5,3,0),0)))</f>
        <v>0</v>
      </c>
      <c r="BV47" s="1">
        <f t="shared" ref="BV47:BV49" si="271">+(IF($A47="","",IF(BV$15&gt;12,IF($D47&gt;MONTH(BV$16)-MONTH(InicioFuncion)+12*(YEAR(BV$16)-YEAR(InicioFuncion))+1,0,IF($E47&lt;=(MONTH(BV$16)-MONTH(InicioFuncion)+12*(YEAR(BV$16)-YEAR(InicioFuncion)))-$D47+IF($D47&lt;&gt;"",1,0),0,IF(BV$15&gt;$B$9,0,IF((YEAR($B$8)-YEAR($B$7))*12+(MONTH($B$8)-MONTH($B$7))+$E$14&lt;=BU$14,$C47))))*HLOOKUP(YEAR(BV$16),$E$3:$O$5,3,0),0)))</f>
        <v>0</v>
      </c>
      <c r="BW47" s="1">
        <f t="shared" ref="BW47:BW49" si="272">+(IF($A47="","",IF(BW$15&gt;12,IF($D47&gt;MONTH(BW$16)-MONTH(InicioFuncion)+12*(YEAR(BW$16)-YEAR(InicioFuncion))+1,0,IF($E47&lt;=(MONTH(BW$16)-MONTH(InicioFuncion)+12*(YEAR(BW$16)-YEAR(InicioFuncion)))-$D47+IF($D47&lt;&gt;"",1,0),0,IF(BW$15&gt;$B$9,0,IF((YEAR($B$8)-YEAR($B$7))*12+(MONTH($B$8)-MONTH($B$7))+$E$14&lt;=BV$14,$C47))))*HLOOKUP(YEAR(BW$16),$E$3:$O$5,3,0),0)))</f>
        <v>0</v>
      </c>
      <c r="BX47" s="1">
        <f t="shared" ref="BX47:BX49" si="273">+(IF($A47="","",IF(BX$15&gt;12,IF($D47&gt;MONTH(BX$16)-MONTH(InicioFuncion)+12*(YEAR(BX$16)-YEAR(InicioFuncion))+1,0,IF($E47&lt;=(MONTH(BX$16)-MONTH(InicioFuncion)+12*(YEAR(BX$16)-YEAR(InicioFuncion)))-$D47+IF($D47&lt;&gt;"",1,0),0,IF(BX$15&gt;$B$9,0,IF((YEAR($B$8)-YEAR($B$7))*12+(MONTH($B$8)-MONTH($B$7))+$E$14&lt;=BW$14,$C47))))*HLOOKUP(YEAR(BX$16),$E$3:$O$5,3,0),0)))</f>
        <v>0</v>
      </c>
      <c r="BY47" s="1">
        <f t="shared" ref="BY47:BY49" si="274">+(IF($A47="","",IF(BY$15&gt;12,IF($D47&gt;MONTH(BY$16)-MONTH(InicioFuncion)+12*(YEAR(BY$16)-YEAR(InicioFuncion))+1,0,IF($E47&lt;=(MONTH(BY$16)-MONTH(InicioFuncion)+12*(YEAR(BY$16)-YEAR(InicioFuncion)))-$D47+IF($D47&lt;&gt;"",1,0),0,IF(BY$15&gt;$B$9,0,IF((YEAR($B$8)-YEAR($B$7))*12+(MONTH($B$8)-MONTH($B$7))+$E$14&lt;=BX$14,$C47))))*HLOOKUP(YEAR(BY$16),$E$3:$O$5,3,0),0)))</f>
        <v>0</v>
      </c>
      <c r="BZ47" s="1">
        <f t="shared" ref="BZ47:BZ49" si="275">+(IF($A47="","",IF(BZ$15&gt;12,IF($D47&gt;MONTH(BZ$16)-MONTH(InicioFuncion)+12*(YEAR(BZ$16)-YEAR(InicioFuncion))+1,0,IF($E47&lt;=(MONTH(BZ$16)-MONTH(InicioFuncion)+12*(YEAR(BZ$16)-YEAR(InicioFuncion)))-$D47+IF($D47&lt;&gt;"",1,0),0,IF(BZ$15&gt;$B$9,0,IF((YEAR($B$8)-YEAR($B$7))*12+(MONTH($B$8)-MONTH($B$7))+$E$14&lt;=BY$14,$C47))))*HLOOKUP(YEAR(BZ$16),$E$3:$O$5,3,0),0)))</f>
        <v>0</v>
      </c>
      <c r="CA47" s="1">
        <f t="shared" ref="CA47:CA49" si="276">+(IF($A47="","",IF(CA$15&gt;12,IF($D47&gt;MONTH(CA$16)-MONTH(InicioFuncion)+12*(YEAR(CA$16)-YEAR(InicioFuncion))+1,0,IF($E47&lt;=(MONTH(CA$16)-MONTH(InicioFuncion)+12*(YEAR(CA$16)-YEAR(InicioFuncion)))-$D47+IF($D47&lt;&gt;"",1,0),0,IF(CA$15&gt;$B$9,0,IF((YEAR($B$8)-YEAR($B$7))*12+(MONTH($B$8)-MONTH($B$7))+$E$14&lt;=BZ$14,$C47))))*HLOOKUP(YEAR(CA$16),$E$3:$O$5,3,0),0)))</f>
        <v>0</v>
      </c>
      <c r="CB47" s="1">
        <f t="shared" ref="CB47:CB49" si="277">+(IF($A47="","",IF(CB$15&gt;12,IF($D47&gt;MONTH(CB$16)-MONTH(InicioFuncion)+12*(YEAR(CB$16)-YEAR(InicioFuncion))+1,0,IF($E47&lt;=(MONTH(CB$16)-MONTH(InicioFuncion)+12*(YEAR(CB$16)-YEAR(InicioFuncion)))-$D47+IF($D47&lt;&gt;"",1,0),0,IF(CB$15&gt;$B$9,0,IF((YEAR($B$8)-YEAR($B$7))*12+(MONTH($B$8)-MONTH($B$7))+$E$14&lt;=CA$14,$C47))))*HLOOKUP(YEAR(CB$16),$E$3:$O$5,3,0),0)))</f>
        <v>0</v>
      </c>
      <c r="CC47" s="1">
        <f t="shared" ref="CC47:CC49" si="278">+(IF($A47="","",IF(CC$15&gt;12,IF($D47&gt;MONTH(CC$16)-MONTH(InicioFuncion)+12*(YEAR(CC$16)-YEAR(InicioFuncion))+1,0,IF($E47&lt;=(MONTH(CC$16)-MONTH(InicioFuncion)+12*(YEAR(CC$16)-YEAR(InicioFuncion)))-$D47+IF($D47&lt;&gt;"",1,0),0,IF(CC$15&gt;$B$9,0,IF((YEAR($B$8)-YEAR($B$7))*12+(MONTH($B$8)-MONTH($B$7))+$E$14&lt;=CB$14,$C47))))*HLOOKUP(YEAR(CC$16),$E$3:$O$5,3,0),0)))</f>
        <v>0</v>
      </c>
      <c r="CD47" s="1">
        <f t="shared" ref="CD47:CD49" si="279">+(IF($A47="","",IF(CD$15&gt;12,IF($D47&gt;MONTH(CD$16)-MONTH(InicioFuncion)+12*(YEAR(CD$16)-YEAR(InicioFuncion))+1,0,IF($E47&lt;=(MONTH(CD$16)-MONTH(InicioFuncion)+12*(YEAR(CD$16)-YEAR(InicioFuncion)))-$D47+IF($D47&lt;&gt;"",1,0),0,IF(CD$15&gt;$B$9,0,IF((YEAR($B$8)-YEAR($B$7))*12+(MONTH($B$8)-MONTH($B$7))+$E$14&lt;=CC$14,$C47))))*HLOOKUP(YEAR(CD$16),$E$3:$O$5,3,0),0)))</f>
        <v>0</v>
      </c>
      <c r="CE47" s="1">
        <f t="shared" ref="CE47:CE49" si="280">+(IF($A47="","",IF(CE$15&gt;12,IF($D47&gt;MONTH(CE$16)-MONTH(InicioFuncion)+12*(YEAR(CE$16)-YEAR(InicioFuncion))+1,0,IF($E47&lt;=(MONTH(CE$16)-MONTH(InicioFuncion)+12*(YEAR(CE$16)-YEAR(InicioFuncion)))-$D47+IF($D47&lt;&gt;"",1,0),0,IF(CE$15&gt;$B$9,0,IF((YEAR($B$8)-YEAR($B$7))*12+(MONTH($B$8)-MONTH($B$7))+$E$14&lt;=CD$14,$C47))))*HLOOKUP(YEAR(CE$16),$E$3:$O$5,3,0),0)))</f>
        <v>0</v>
      </c>
      <c r="CF47" s="1">
        <f t="shared" ref="CF47:CF49" si="281">+(IF($A47="","",IF(CF$15&gt;12,IF($D47&gt;MONTH(CF$16)-MONTH(InicioFuncion)+12*(YEAR(CF$16)-YEAR(InicioFuncion))+1,0,IF($E47&lt;=(MONTH(CF$16)-MONTH(InicioFuncion)+12*(YEAR(CF$16)-YEAR(InicioFuncion)))-$D47+IF($D47&lt;&gt;"",1,0),0,IF(CF$15&gt;$B$9,0,IF((YEAR($B$8)-YEAR($B$7))*12+(MONTH($B$8)-MONTH($B$7))+$E$14&lt;=CE$14,$C47))))*HLOOKUP(YEAR(CF$16),$E$3:$O$5,3,0),0)))</f>
        <v>0</v>
      </c>
      <c r="CG47" s="1">
        <f t="shared" ref="CG47:CG49" si="282">+(IF($A47="","",IF(CG$15&gt;12,IF($D47&gt;MONTH(CG$16)-MONTH(InicioFuncion)+12*(YEAR(CG$16)-YEAR(InicioFuncion))+1,0,IF($E47&lt;=(MONTH(CG$16)-MONTH(InicioFuncion)+12*(YEAR(CG$16)-YEAR(InicioFuncion)))-$D47+IF($D47&lt;&gt;"",1,0),0,IF(CG$15&gt;$B$9,0,IF((YEAR($B$8)-YEAR($B$7))*12+(MONTH($B$8)-MONTH($B$7))+$E$14&lt;=CF$14,$C47))))*HLOOKUP(YEAR(CG$16),$E$3:$O$5,3,0),0)))</f>
        <v>0</v>
      </c>
      <c r="CH47" s="1">
        <f t="shared" ref="CH47:CH49" si="283">+(IF($A47="","",IF(CH$15&gt;12,IF($D47&gt;MONTH(CH$16)-MONTH(InicioFuncion)+12*(YEAR(CH$16)-YEAR(InicioFuncion))+1,0,IF($E47&lt;=(MONTH(CH$16)-MONTH(InicioFuncion)+12*(YEAR(CH$16)-YEAR(InicioFuncion)))-$D47+IF($D47&lt;&gt;"",1,0),0,IF(CH$15&gt;$B$9,0,IF((YEAR($B$8)-YEAR($B$7))*12+(MONTH($B$8)-MONTH($B$7))+$E$14&lt;=CG$14,$C47))))*HLOOKUP(YEAR(CH$16),$E$3:$O$5,3,0),0)))</f>
        <v>0</v>
      </c>
      <c r="CI47" s="1">
        <f t="shared" ref="CI47:CI49" si="284">+(IF($A47="","",IF(CI$15&gt;12,IF($D47&gt;MONTH(CI$16)-MONTH(InicioFuncion)+12*(YEAR(CI$16)-YEAR(InicioFuncion))+1,0,IF($E47&lt;=(MONTH(CI$16)-MONTH(InicioFuncion)+12*(YEAR(CI$16)-YEAR(InicioFuncion)))-$D47+IF($D47&lt;&gt;"",1,0),0,IF(CI$15&gt;$B$9,0,IF((YEAR($B$8)-YEAR($B$7))*12+(MONTH($B$8)-MONTH($B$7))+$E$14&lt;=CH$14,$C47))))*HLOOKUP(YEAR(CI$16),$E$3:$O$5,3,0),0)))</f>
        <v>0</v>
      </c>
      <c r="CJ47" s="1">
        <f t="shared" ref="CJ47:CJ49" si="285">+(IF($A47="","",IF(CJ$15&gt;12,IF($D47&gt;MONTH(CJ$16)-MONTH(InicioFuncion)+12*(YEAR(CJ$16)-YEAR(InicioFuncion))+1,0,IF($E47&lt;=(MONTH(CJ$16)-MONTH(InicioFuncion)+12*(YEAR(CJ$16)-YEAR(InicioFuncion)))-$D47+IF($D47&lt;&gt;"",1,0),0,IF(CJ$15&gt;$B$9,0,IF((YEAR($B$8)-YEAR($B$7))*12+(MONTH($B$8)-MONTH($B$7))+$E$14&lt;=CI$14,$C47))))*HLOOKUP(YEAR(CJ$16),$E$3:$O$5,3,0),0)))</f>
        <v>0</v>
      </c>
      <c r="CK47" s="1">
        <f t="shared" ref="CK47:CK49" si="286">+(IF($A47="","",IF(CK$15&gt;12,IF($D47&gt;MONTH(CK$16)-MONTH(InicioFuncion)+12*(YEAR(CK$16)-YEAR(InicioFuncion))+1,0,IF($E47&lt;=(MONTH(CK$16)-MONTH(InicioFuncion)+12*(YEAR(CK$16)-YEAR(InicioFuncion)))-$D47+IF($D47&lt;&gt;"",1,0),0,IF(CK$15&gt;$B$9,0,IF((YEAR($B$8)-YEAR($B$7))*12+(MONTH($B$8)-MONTH($B$7))+$E$14&lt;=CJ$14,$C47))))*HLOOKUP(YEAR(CK$16),$E$3:$O$5,3,0),0)))</f>
        <v>0</v>
      </c>
      <c r="CL47" s="1">
        <f t="shared" ref="CL47:CL49" si="287">+(IF($A47="","",IF(CL$15&gt;12,IF($D47&gt;MONTH(CL$16)-MONTH(InicioFuncion)+12*(YEAR(CL$16)-YEAR(InicioFuncion))+1,0,IF($E47&lt;=(MONTH(CL$16)-MONTH(InicioFuncion)+12*(YEAR(CL$16)-YEAR(InicioFuncion)))-$D47+IF($D47&lt;&gt;"",1,0),0,IF(CL$15&gt;$B$9,0,IF((YEAR($B$8)-YEAR($B$7))*12+(MONTH($B$8)-MONTH($B$7))+$E$14&lt;=CK$14,$C47))))*HLOOKUP(YEAR(CL$16),$E$3:$O$5,3,0),0)))</f>
        <v>0</v>
      </c>
      <c r="CM47" s="1">
        <f t="shared" ref="CM47:CM49" si="288">+(IF($A47="","",IF(CM$15&gt;12,IF($D47&gt;MONTH(CM$16)-MONTH(InicioFuncion)+12*(YEAR(CM$16)-YEAR(InicioFuncion))+1,0,IF($E47&lt;=(MONTH(CM$16)-MONTH(InicioFuncion)+12*(YEAR(CM$16)-YEAR(InicioFuncion)))-$D47+IF($D47&lt;&gt;"",1,0),0,IF(CM$15&gt;$B$9,0,IF((YEAR($B$8)-YEAR($B$7))*12+(MONTH($B$8)-MONTH($B$7))+$E$14&lt;=CL$14,$C47))))*HLOOKUP(YEAR(CM$16),$E$3:$O$5,3,0),0)))</f>
        <v>0</v>
      </c>
      <c r="CN47" s="1">
        <f t="shared" ref="CN47:CN49" si="289">+(IF($A47="","",IF(CN$15&gt;12,IF($D47&gt;MONTH(CN$16)-MONTH(InicioFuncion)+12*(YEAR(CN$16)-YEAR(InicioFuncion))+1,0,IF($E47&lt;=(MONTH(CN$16)-MONTH(InicioFuncion)+12*(YEAR(CN$16)-YEAR(InicioFuncion)))-$D47+IF($D47&lt;&gt;"",1,0),0,IF(CN$15&gt;$B$9,0,IF((YEAR($B$8)-YEAR($B$7))*12+(MONTH($B$8)-MONTH($B$7))+$E$14&lt;=CM$14,$C47))))*HLOOKUP(YEAR(CN$16),$E$3:$O$5,3,0),0)))</f>
        <v>0</v>
      </c>
      <c r="CO47" s="1">
        <f t="shared" ref="CO47:CO49" si="290">+(IF($A47="","",IF(CO$15&gt;12,IF($D47&gt;MONTH(CO$16)-MONTH(InicioFuncion)+12*(YEAR(CO$16)-YEAR(InicioFuncion))+1,0,IF($E47&lt;=(MONTH(CO$16)-MONTH(InicioFuncion)+12*(YEAR(CO$16)-YEAR(InicioFuncion)))-$D47+IF($D47&lt;&gt;"",1,0),0,IF(CO$15&gt;$B$9,0,IF((YEAR($B$8)-YEAR($B$7))*12+(MONTH($B$8)-MONTH($B$7))+$E$14&lt;=CN$14,$C47))))*HLOOKUP(YEAR(CO$16),$E$3:$O$5,3,0),0)))</f>
        <v>0</v>
      </c>
      <c r="CP47" s="1">
        <f t="shared" ref="CP47:CP49" si="291">+(IF($A47="","",IF(CP$15&gt;12,IF($D47&gt;MONTH(CP$16)-MONTH(InicioFuncion)+12*(YEAR(CP$16)-YEAR(InicioFuncion))+1,0,IF($E47&lt;=(MONTH(CP$16)-MONTH(InicioFuncion)+12*(YEAR(CP$16)-YEAR(InicioFuncion)))-$D47+IF($D47&lt;&gt;"",1,0),0,IF(CP$15&gt;$B$9,0,IF((YEAR($B$8)-YEAR($B$7))*12+(MONTH($B$8)-MONTH($B$7))+$E$14&lt;=CO$14,$C47))))*HLOOKUP(YEAR(CP$16),$E$3:$O$5,3,0),0)))</f>
        <v>0</v>
      </c>
      <c r="CQ47" s="1">
        <f t="shared" ref="CQ47:CQ49" si="292">+(IF($A47="","",IF(CQ$15&gt;12,IF($D47&gt;MONTH(CQ$16)-MONTH(InicioFuncion)+12*(YEAR(CQ$16)-YEAR(InicioFuncion))+1,0,IF($E47&lt;=(MONTH(CQ$16)-MONTH(InicioFuncion)+12*(YEAR(CQ$16)-YEAR(InicioFuncion)))-$D47+IF($D47&lt;&gt;"",1,0),0,IF(CQ$15&gt;$B$9,0,IF((YEAR($B$8)-YEAR($B$7))*12+(MONTH($B$8)-MONTH($B$7))+$E$14&lt;=CP$14,$C47))))*HLOOKUP(YEAR(CQ$16),$E$3:$O$5,3,0),0)))</f>
        <v>0</v>
      </c>
      <c r="CR47" s="1">
        <f t="shared" ref="CR47:CR49" si="293">+(IF($A47="","",IF(CR$15&gt;12,IF($D47&gt;MONTH(CR$16)-MONTH(InicioFuncion)+12*(YEAR(CR$16)-YEAR(InicioFuncion))+1,0,IF($E47&lt;=(MONTH(CR$16)-MONTH(InicioFuncion)+12*(YEAR(CR$16)-YEAR(InicioFuncion)))-$D47+IF($D47&lt;&gt;"",1,0),0,IF(CR$15&gt;$B$9,0,IF((YEAR($B$8)-YEAR($B$7))*12+(MONTH($B$8)-MONTH($B$7))+$E$14&lt;=CQ$14,$C47))))*HLOOKUP(YEAR(CR$16),$E$3:$O$5,3,0),0)))</f>
        <v>0</v>
      </c>
      <c r="CS47" s="1">
        <f t="shared" ref="CS47:CS49" si="294">+(IF($A47="","",IF(CS$15&gt;12,IF($D47&gt;MONTH(CS$16)-MONTH(InicioFuncion)+12*(YEAR(CS$16)-YEAR(InicioFuncion))+1,0,IF($E47&lt;=(MONTH(CS$16)-MONTH(InicioFuncion)+12*(YEAR(CS$16)-YEAR(InicioFuncion)))-$D47+IF($D47&lt;&gt;"",1,0),0,IF(CS$15&gt;$B$9,0,IF((YEAR($B$8)-YEAR($B$7))*12+(MONTH($B$8)-MONTH($B$7))+$E$14&lt;=CR$14,$C47))))*HLOOKUP(YEAR(CS$16),$E$3:$O$5,3,0),0)))</f>
        <v>0</v>
      </c>
      <c r="CT47" s="1">
        <f t="shared" ref="CT47:CT49" si="295">+(IF($A47="","",IF(CT$15&gt;12,IF($D47&gt;MONTH(CT$16)-MONTH(InicioFuncion)+12*(YEAR(CT$16)-YEAR(InicioFuncion))+1,0,IF($E47&lt;=(MONTH(CT$16)-MONTH(InicioFuncion)+12*(YEAR(CT$16)-YEAR(InicioFuncion)))-$D47+IF($D47&lt;&gt;"",1,0),0,IF(CT$15&gt;$B$9,0,IF((YEAR($B$8)-YEAR($B$7))*12+(MONTH($B$8)-MONTH($B$7))+$E$14&lt;=CS$14,$C47))))*HLOOKUP(YEAR(CT$16),$E$3:$O$5,3,0),0)))</f>
        <v>0</v>
      </c>
      <c r="CU47" s="1">
        <f t="shared" ref="CU47:CU49" si="296">+(IF($A47="","",IF(CU$15&gt;12,IF($D47&gt;MONTH(CU$16)-MONTH(InicioFuncion)+12*(YEAR(CU$16)-YEAR(InicioFuncion))+1,0,IF($E47&lt;=(MONTH(CU$16)-MONTH(InicioFuncion)+12*(YEAR(CU$16)-YEAR(InicioFuncion)))-$D47+IF($D47&lt;&gt;"",1,0),0,IF(CU$15&gt;$B$9,0,IF((YEAR($B$8)-YEAR($B$7))*12+(MONTH($B$8)-MONTH($B$7))+$E$14&lt;=CT$14,$C47))))*HLOOKUP(YEAR(CU$16),$E$3:$O$5,3,0),0)))</f>
        <v>0</v>
      </c>
      <c r="CV47" s="1">
        <f t="shared" ref="CV47:CV49" si="297">+(IF($A47="","",IF(CV$15&gt;12,IF($D47&gt;MONTH(CV$16)-MONTH(InicioFuncion)+12*(YEAR(CV$16)-YEAR(InicioFuncion))+1,0,IF($E47&lt;=(MONTH(CV$16)-MONTH(InicioFuncion)+12*(YEAR(CV$16)-YEAR(InicioFuncion)))-$D47+IF($D47&lt;&gt;"",1,0),0,IF(CV$15&gt;$B$9,0,IF((YEAR($B$8)-YEAR($B$7))*12+(MONTH($B$8)-MONTH($B$7))+$E$14&lt;=CU$14,$C47))))*HLOOKUP(YEAR(CV$16),$E$3:$O$5,3,0),0)))</f>
        <v>0</v>
      </c>
      <c r="CW47" s="1">
        <f t="shared" ref="CW47:CW49" si="298">+(IF($A47="","",IF(CW$15&gt;12,IF($D47&gt;MONTH(CW$16)-MONTH(InicioFuncion)+12*(YEAR(CW$16)-YEAR(InicioFuncion))+1,0,IF($E47&lt;=(MONTH(CW$16)-MONTH(InicioFuncion)+12*(YEAR(CW$16)-YEAR(InicioFuncion)))-$D47+IF($D47&lt;&gt;"",1,0),0,IF(CW$15&gt;$B$9,0,IF((YEAR($B$8)-YEAR($B$7))*12+(MONTH($B$8)-MONTH($B$7))+$E$14&lt;=CV$14,$C47))))*HLOOKUP(YEAR(CW$16),$E$3:$O$5,3,0),0)))</f>
        <v>0</v>
      </c>
      <c r="CX47" s="1">
        <f t="shared" ref="CX47:CX49" si="299">+(IF($A47="","",IF(CX$15&gt;12,IF($D47&gt;MONTH(CX$16)-MONTH(InicioFuncion)+12*(YEAR(CX$16)-YEAR(InicioFuncion))+1,0,IF($E47&lt;=(MONTH(CX$16)-MONTH(InicioFuncion)+12*(YEAR(CX$16)-YEAR(InicioFuncion)))-$D47+IF($D47&lt;&gt;"",1,0),0,IF(CX$15&gt;$B$9,0,IF((YEAR($B$8)-YEAR($B$7))*12+(MONTH($B$8)-MONTH($B$7))+$E$14&lt;=CW$14,$C47))))*HLOOKUP(YEAR(CX$16),$E$3:$O$5,3,0),0)))</f>
        <v>0</v>
      </c>
      <c r="CY47" s="1">
        <f t="shared" ref="CY47:CY49" si="300">+(IF($A47="","",IF(CY$15&gt;12,IF($D47&gt;MONTH(CY$16)-MONTH(InicioFuncion)+12*(YEAR(CY$16)-YEAR(InicioFuncion))+1,0,IF($E47&lt;=(MONTH(CY$16)-MONTH(InicioFuncion)+12*(YEAR(CY$16)-YEAR(InicioFuncion)))-$D47+IF($D47&lt;&gt;"",1,0),0,IF(CY$15&gt;$B$9,0,IF((YEAR($B$8)-YEAR($B$7))*12+(MONTH($B$8)-MONTH($B$7))+$E$14&lt;=CX$14,$C47))))*HLOOKUP(YEAR(CY$16),$E$3:$O$5,3,0),0)))</f>
        <v>0</v>
      </c>
      <c r="CZ47" s="1">
        <f t="shared" ref="CZ47:CZ49" si="301">+(IF($A47="","",IF(CZ$15&gt;12,IF($D47&gt;MONTH(CZ$16)-MONTH(InicioFuncion)+12*(YEAR(CZ$16)-YEAR(InicioFuncion))+1,0,IF($E47&lt;=(MONTH(CZ$16)-MONTH(InicioFuncion)+12*(YEAR(CZ$16)-YEAR(InicioFuncion)))-$D47+IF($D47&lt;&gt;"",1,0),0,IF(CZ$15&gt;$B$9,0,IF((YEAR($B$8)-YEAR($B$7))*12+(MONTH($B$8)-MONTH($B$7))+$E$14&lt;=CY$14,$C47))))*HLOOKUP(YEAR(CZ$16),$E$3:$O$5,3,0),0)))</f>
        <v>0</v>
      </c>
      <c r="DA47" s="1">
        <f t="shared" ref="DA47:DA49" si="302">+(IF($A47="","",IF(DA$15&gt;12,IF($D47&gt;MONTH(DA$16)-MONTH(InicioFuncion)+12*(YEAR(DA$16)-YEAR(InicioFuncion))+1,0,IF($E47&lt;=(MONTH(DA$16)-MONTH(InicioFuncion)+12*(YEAR(DA$16)-YEAR(InicioFuncion)))-$D47+IF($D47&lt;&gt;"",1,0),0,IF(DA$15&gt;$B$9,0,IF((YEAR($B$8)-YEAR($B$7))*12+(MONTH($B$8)-MONTH($B$7))+$E$14&lt;=CZ$14,$C47))))*HLOOKUP(YEAR(DA$16),$E$3:$O$5,3,0),0)))</f>
        <v>0</v>
      </c>
      <c r="DB47" s="1">
        <f t="shared" ref="DB47:DB49" si="303">+(IF($A47="","",IF(DB$15&gt;12,IF($D47&gt;MONTH(DB$16)-MONTH(InicioFuncion)+12*(YEAR(DB$16)-YEAR(InicioFuncion))+1,0,IF($E47&lt;=(MONTH(DB$16)-MONTH(InicioFuncion)+12*(YEAR(DB$16)-YEAR(InicioFuncion)))-$D47+IF($D47&lt;&gt;"",1,0),0,IF(DB$15&gt;$B$9,0,IF((YEAR($B$8)-YEAR($B$7))*12+(MONTH($B$8)-MONTH($B$7))+$E$14&lt;=DA$14,$C47))))*HLOOKUP(YEAR(DB$16),$E$3:$O$5,3,0),0)))</f>
        <v>0</v>
      </c>
      <c r="DC47" s="1">
        <f t="shared" ref="DC47:DC49" si="304">+(IF($A47="","",IF(DC$15&gt;12,IF($D47&gt;MONTH(DC$16)-MONTH(InicioFuncion)+12*(YEAR(DC$16)-YEAR(InicioFuncion))+1,0,IF($E47&lt;=(MONTH(DC$16)-MONTH(InicioFuncion)+12*(YEAR(DC$16)-YEAR(InicioFuncion)))-$D47+IF($D47&lt;&gt;"",1,0),0,IF(DC$15&gt;$B$9,0,IF((YEAR($B$8)-YEAR($B$7))*12+(MONTH($B$8)-MONTH($B$7))+$E$14&lt;=DB$14,$C47))))*HLOOKUP(YEAR(DC$16),$E$3:$O$5,3,0),0)))</f>
        <v>0</v>
      </c>
      <c r="DD47" s="1">
        <f t="shared" ref="DD47:DD49" si="305">+(IF($A47="","",IF(DD$15&gt;12,IF($D47&gt;MONTH(DD$16)-MONTH(InicioFuncion)+12*(YEAR(DD$16)-YEAR(InicioFuncion))+1,0,IF($E47&lt;=(MONTH(DD$16)-MONTH(InicioFuncion)+12*(YEAR(DD$16)-YEAR(InicioFuncion)))-$D47+IF($D47&lt;&gt;"",1,0),0,IF(DD$15&gt;$B$9,0,IF((YEAR($B$8)-YEAR($B$7))*12+(MONTH($B$8)-MONTH($B$7))+$E$14&lt;=DC$14,$C47))))*HLOOKUP(YEAR(DD$16),$E$3:$O$5,3,0),0)))</f>
        <v>0</v>
      </c>
      <c r="DE47" s="1">
        <f t="shared" ref="DE47:DE49" si="306">+(IF($A47="","",IF(DE$15&gt;12,IF($D47&gt;MONTH(DE$16)-MONTH(InicioFuncion)+12*(YEAR(DE$16)-YEAR(InicioFuncion))+1,0,IF($E47&lt;=(MONTH(DE$16)-MONTH(InicioFuncion)+12*(YEAR(DE$16)-YEAR(InicioFuncion)))-$D47+IF($D47&lt;&gt;"",1,0),0,IF(DE$15&gt;$B$9,0,IF((YEAR($B$8)-YEAR($B$7))*12+(MONTH($B$8)-MONTH($B$7))+$E$14&lt;=DD$14,$C47))))*HLOOKUP(YEAR(DE$16),$E$3:$O$5,3,0),0)))</f>
        <v>0</v>
      </c>
      <c r="DF47" s="1">
        <f t="shared" ref="DF47:DF49" si="307">+(IF($A47="","",IF(DF$15&gt;12,IF($D47&gt;MONTH(DF$16)-MONTH(InicioFuncion)+12*(YEAR(DF$16)-YEAR(InicioFuncion))+1,0,IF($E47&lt;=(MONTH(DF$16)-MONTH(InicioFuncion)+12*(YEAR(DF$16)-YEAR(InicioFuncion)))-$D47+IF($D47&lt;&gt;"",1,0),0,IF(DF$15&gt;$B$9,0,IF((YEAR($B$8)-YEAR($B$7))*12+(MONTH($B$8)-MONTH($B$7))+$E$14&lt;=DE$14,$C47))))*HLOOKUP(YEAR(DF$16),$E$3:$O$5,3,0),0)))</f>
        <v>0</v>
      </c>
      <c r="DG47" s="1">
        <f t="shared" ref="DG47:DG49" si="308">+(IF($A47="","",IF(DG$15&gt;12,IF($D47&gt;MONTH(DG$16)-MONTH(InicioFuncion)+12*(YEAR(DG$16)-YEAR(InicioFuncion))+1,0,IF($E47&lt;=(MONTH(DG$16)-MONTH(InicioFuncion)+12*(YEAR(DG$16)-YEAR(InicioFuncion)))-$D47+IF($D47&lt;&gt;"",1,0),0,IF(DG$15&gt;$B$9,0,IF((YEAR($B$8)-YEAR($B$7))*12+(MONTH($B$8)-MONTH($B$7))+$E$14&lt;=DF$14,$C47))))*HLOOKUP(YEAR(DG$16),$E$3:$O$5,3,0),0)))</f>
        <v>0</v>
      </c>
      <c r="DH47" s="1">
        <f t="shared" ref="DH47:DH49" si="309">+(IF($A47="","",IF(DH$15&gt;12,IF($D47&gt;MONTH(DH$16)-MONTH(InicioFuncion)+12*(YEAR(DH$16)-YEAR(InicioFuncion))+1,0,IF($E47&lt;=(MONTH(DH$16)-MONTH(InicioFuncion)+12*(YEAR(DH$16)-YEAR(InicioFuncion)))-$D47+IF($D47&lt;&gt;"",1,0),0,IF(DH$15&gt;$B$9,0,IF((YEAR($B$8)-YEAR($B$7))*12+(MONTH($B$8)-MONTH($B$7))+$E$14&lt;=DG$14,$C47))))*HLOOKUP(YEAR(DH$16),$E$3:$O$5,3,0),0)))</f>
        <v>0</v>
      </c>
      <c r="DI47" s="1">
        <f t="shared" ref="DI47:DI49" si="310">+(IF($A47="","",IF(DI$15&gt;12,IF($D47&gt;MONTH(DI$16)-MONTH(InicioFuncion)+12*(YEAR(DI$16)-YEAR(InicioFuncion))+1,0,IF($E47&lt;=(MONTH(DI$16)-MONTH(InicioFuncion)+12*(YEAR(DI$16)-YEAR(InicioFuncion)))-$D47+IF($D47&lt;&gt;"",1,0),0,IF(DI$15&gt;$B$9,0,IF((YEAR($B$8)-YEAR($B$7))*12+(MONTH($B$8)-MONTH($B$7))+$E$14&lt;=DH$14,$C47))))*HLOOKUP(YEAR(DI$16),$E$3:$O$5,3,0),0)))</f>
        <v>0</v>
      </c>
      <c r="DJ47" s="1">
        <f t="shared" ref="DJ47:DJ49" si="311">+(IF($A47="","",IF(DJ$15&gt;12,IF($D47&gt;MONTH(DJ$16)-MONTH(InicioFuncion)+12*(YEAR(DJ$16)-YEAR(InicioFuncion))+1,0,IF($E47&lt;=(MONTH(DJ$16)-MONTH(InicioFuncion)+12*(YEAR(DJ$16)-YEAR(InicioFuncion)))-$D47+IF($D47&lt;&gt;"",1,0),0,IF(DJ$15&gt;$B$9,0,IF((YEAR($B$8)-YEAR($B$7))*12+(MONTH($B$8)-MONTH($B$7))+$E$14&lt;=DI$14,$C47))))*HLOOKUP(YEAR(DJ$16),$E$3:$O$5,3,0),0)))</f>
        <v>0</v>
      </c>
      <c r="DK47" s="1">
        <f t="shared" ref="DK47:DK49" si="312">+(IF($A47="","",IF(DK$15&gt;12,IF($D47&gt;MONTH(DK$16)-MONTH(InicioFuncion)+12*(YEAR(DK$16)-YEAR(InicioFuncion))+1,0,IF($E47&lt;=(MONTH(DK$16)-MONTH(InicioFuncion)+12*(YEAR(DK$16)-YEAR(InicioFuncion)))-$D47+IF($D47&lt;&gt;"",1,0),0,IF(DK$15&gt;$B$9,0,IF((YEAR($B$8)-YEAR($B$7))*12+(MONTH($B$8)-MONTH($B$7))+$E$14&lt;=DJ$14,$C47))))*HLOOKUP(YEAR(DK$16),$E$3:$O$5,3,0),0)))</f>
        <v>0</v>
      </c>
      <c r="DL47" s="1">
        <f t="shared" ref="DL47:DL49" si="313">+(IF($A47="","",IF(DL$15&gt;12,IF($D47&gt;MONTH(DL$16)-MONTH(InicioFuncion)+12*(YEAR(DL$16)-YEAR(InicioFuncion))+1,0,IF($E47&lt;=(MONTH(DL$16)-MONTH(InicioFuncion)+12*(YEAR(DL$16)-YEAR(InicioFuncion)))-$D47+IF($D47&lt;&gt;"",1,0),0,IF(DL$15&gt;$B$9,0,IF((YEAR($B$8)-YEAR($B$7))*12+(MONTH($B$8)-MONTH($B$7))+$E$14&lt;=DK$14,$C47))))*HLOOKUP(YEAR(DL$16),$E$3:$O$5,3,0),0)))</f>
        <v>0</v>
      </c>
      <c r="DM47" s="1">
        <f t="shared" ref="DM47:DM49" si="314">+(IF($A47="","",IF(DM$15&gt;12,IF($D47&gt;MONTH(DM$16)-MONTH(InicioFuncion)+12*(YEAR(DM$16)-YEAR(InicioFuncion))+1,0,IF($E47&lt;=(MONTH(DM$16)-MONTH(InicioFuncion)+12*(YEAR(DM$16)-YEAR(InicioFuncion)))-$D47+IF($D47&lt;&gt;"",1,0),0,IF(DM$15&gt;$B$9,0,IF((YEAR($B$8)-YEAR($B$7))*12+(MONTH($B$8)-MONTH($B$7))+$E$14&lt;=DL$14,$C47))))*HLOOKUP(YEAR(DM$16),$E$3:$O$5,3,0),0)))</f>
        <v>0</v>
      </c>
      <c r="DN47" s="1">
        <f t="shared" ref="DN47:DN49" si="315">+(IF($A47="","",IF(DN$15&gt;12,IF($D47&gt;MONTH(DN$16)-MONTH(InicioFuncion)+12*(YEAR(DN$16)-YEAR(InicioFuncion))+1,0,IF($E47&lt;=(MONTH(DN$16)-MONTH(InicioFuncion)+12*(YEAR(DN$16)-YEAR(InicioFuncion)))-$D47+IF($D47&lt;&gt;"",1,0),0,IF(DN$15&gt;$B$9,0,IF((YEAR($B$8)-YEAR($B$7))*12+(MONTH($B$8)-MONTH($B$7))+$E$14&lt;=DM$14,$C47))))*HLOOKUP(YEAR(DN$16),$E$3:$O$5,3,0),0)))</f>
        <v>0</v>
      </c>
      <c r="DO47" s="1">
        <f t="shared" ref="DO47:DO49" si="316">+(IF($A47="","",IF(DO$15&gt;12,IF($D47&gt;MONTH(DO$16)-MONTH(InicioFuncion)+12*(YEAR(DO$16)-YEAR(InicioFuncion))+1,0,IF($E47&lt;=(MONTH(DO$16)-MONTH(InicioFuncion)+12*(YEAR(DO$16)-YEAR(InicioFuncion)))-$D47+IF($D47&lt;&gt;"",1,0),0,IF(DO$15&gt;$B$9,0,IF((YEAR($B$8)-YEAR($B$7))*12+(MONTH($B$8)-MONTH($B$7))+$E$14&lt;=DN$14,$C47))))*HLOOKUP(YEAR(DO$16),$E$3:$O$5,3,0),0)))</f>
        <v>0</v>
      </c>
      <c r="DP47" s="1">
        <f t="shared" ref="DP47:DP49" si="317">+(IF($A47="","",IF(DP$15&gt;12,IF($D47&gt;MONTH(DP$16)-MONTH(InicioFuncion)+12*(YEAR(DP$16)-YEAR(InicioFuncion))+1,0,IF($E47&lt;=(MONTH(DP$16)-MONTH(InicioFuncion)+12*(YEAR(DP$16)-YEAR(InicioFuncion)))-$D47+IF($D47&lt;&gt;"",1,0),0,IF(DP$15&gt;$B$9,0,IF((YEAR($B$8)-YEAR($B$7))*12+(MONTH($B$8)-MONTH($B$7))+$E$14&lt;=DO$14,$C47))))*HLOOKUP(YEAR(DP$16),$E$3:$O$5,3,0),0)))</f>
        <v>0</v>
      </c>
      <c r="DQ47" s="1">
        <f t="shared" ref="DQ47:DQ49" si="318">+(IF($A47="","",IF(DQ$15&gt;12,IF($D47&gt;MONTH(DQ$16)-MONTH(InicioFuncion)+12*(YEAR(DQ$16)-YEAR(InicioFuncion))+1,0,IF($E47&lt;=(MONTH(DQ$16)-MONTH(InicioFuncion)+12*(YEAR(DQ$16)-YEAR(InicioFuncion)))-$D47+IF($D47&lt;&gt;"",1,0),0,IF(DQ$15&gt;$B$9,0,IF((YEAR($B$8)-YEAR($B$7))*12+(MONTH($B$8)-MONTH($B$7))+$E$14&lt;=DP$14,$C47))))*HLOOKUP(YEAR(DQ$16),$E$3:$O$5,3,0),0)))</f>
        <v>0</v>
      </c>
      <c r="DR47" s="1">
        <f t="shared" ref="DR47:DR49" si="319">+(IF($A47="","",IF(DR$15&gt;12,IF($D47&gt;MONTH(DR$16)-MONTH(InicioFuncion)+12*(YEAR(DR$16)-YEAR(InicioFuncion))+1,0,IF($E47&lt;=(MONTH(DR$16)-MONTH(InicioFuncion)+12*(YEAR(DR$16)-YEAR(InicioFuncion)))-$D47+IF($D47&lt;&gt;"",1,0),0,IF(DR$15&gt;$B$9,0,IF((YEAR($B$8)-YEAR($B$7))*12+(MONTH($B$8)-MONTH($B$7))+$E$14&lt;=DQ$14,$C47))))*HLOOKUP(YEAR(DR$16),$E$3:$O$5,3,0),0)))</f>
        <v>0</v>
      </c>
      <c r="DS47" s="1">
        <f t="shared" ref="DS47:DS49" si="320">+(IF($A47="","",IF(DS$15&gt;12,IF($D47&gt;MONTH(DS$16)-MONTH(InicioFuncion)+12*(YEAR(DS$16)-YEAR(InicioFuncion))+1,0,IF($E47&lt;=(MONTH(DS$16)-MONTH(InicioFuncion)+12*(YEAR(DS$16)-YEAR(InicioFuncion)))-$D47+IF($D47&lt;&gt;"",1,0),0,IF(DS$15&gt;$B$9,0,IF((YEAR($B$8)-YEAR($B$7))*12+(MONTH($B$8)-MONTH($B$7))+$E$14&lt;=DR$14,$C47))))*HLOOKUP(YEAR(DS$16),$E$3:$O$5,3,0),0)))</f>
        <v>0</v>
      </c>
      <c r="DT47" s="1">
        <f t="shared" ref="DT47:DT49" si="321">+(IF($A47="","",IF(DT$15&gt;12,IF($D47&gt;MONTH(DT$16)-MONTH(InicioFuncion)+12*(YEAR(DT$16)-YEAR(InicioFuncion))+1,0,IF($E47&lt;=(MONTH(DT$16)-MONTH(InicioFuncion)+12*(YEAR(DT$16)-YEAR(InicioFuncion)))-$D47+IF($D47&lt;&gt;"",1,0),0,IF(DT$15&gt;$B$9,0,IF((YEAR($B$8)-YEAR($B$7))*12+(MONTH($B$8)-MONTH($B$7))+$E$14&lt;=DS$14,$C47))))*HLOOKUP(YEAR(DT$16),$E$3:$O$5,3,0),0)))</f>
        <v>0</v>
      </c>
      <c r="DU47" s="1">
        <f t="shared" ref="DU47:DU49" si="322">+(IF($A47="","",IF(DU$15&gt;12,IF($D47&gt;MONTH(DU$16)-MONTH(InicioFuncion)+12*(YEAR(DU$16)-YEAR(InicioFuncion))+1,0,IF($E47&lt;=(MONTH(DU$16)-MONTH(InicioFuncion)+12*(YEAR(DU$16)-YEAR(InicioFuncion)))-$D47+IF($D47&lt;&gt;"",1,0),0,IF(DU$15&gt;$B$9,0,IF((YEAR($B$8)-YEAR($B$7))*12+(MONTH($B$8)-MONTH($B$7))+$E$14&lt;=DT$14,$C47))))*HLOOKUP(YEAR(DU$16),$E$3:$O$5,3,0),0)))</f>
        <v>0</v>
      </c>
      <c r="DV47" s="1">
        <f t="shared" ref="DV47:DV49" si="323">+(IF($A47="","",IF(DV$15&gt;12,IF($D47&gt;MONTH(DV$16)-MONTH(InicioFuncion)+12*(YEAR(DV$16)-YEAR(InicioFuncion))+1,0,IF($E47&lt;=(MONTH(DV$16)-MONTH(InicioFuncion)+12*(YEAR(DV$16)-YEAR(InicioFuncion)))-$D47+IF($D47&lt;&gt;"",1,0),0,IF(DV$15&gt;$B$9,0,IF((YEAR($B$8)-YEAR($B$7))*12+(MONTH($B$8)-MONTH($B$7))+$E$14&lt;=DU$14,$C47))))*HLOOKUP(YEAR(DV$16),$E$3:$O$5,3,0),0)))</f>
        <v>0</v>
      </c>
    </row>
    <row r="48" spans="1:126" x14ac:dyDescent="0.25">
      <c r="A48" s="26" t="s">
        <v>20</v>
      </c>
      <c r="B48" s="26"/>
      <c r="C48" s="36">
        <f>+SUMIFS(ValoresMercado,Conceptos,A48,Tipo,TipoEspecifico,Relacion,'Parametros tecnológicos'!$F$7,ClaseTorreRango,ClaseTorre)/12</f>
        <v>0</v>
      </c>
      <c r="D48" s="35"/>
      <c r="E48" s="35">
        <f t="shared" si="37"/>
        <v>56</v>
      </c>
      <c r="F48" s="1">
        <f t="shared" si="28"/>
        <v>0</v>
      </c>
      <c r="G48" s="1">
        <f t="shared" si="204"/>
        <v>0</v>
      </c>
      <c r="H48" s="1">
        <f t="shared" si="205"/>
        <v>0</v>
      </c>
      <c r="I48" s="1">
        <f t="shared" si="206"/>
        <v>0</v>
      </c>
      <c r="J48" s="1">
        <f t="shared" si="207"/>
        <v>0</v>
      </c>
      <c r="K48" s="1">
        <f t="shared" si="208"/>
        <v>0</v>
      </c>
      <c r="L48" s="1">
        <f t="shared" si="209"/>
        <v>0</v>
      </c>
      <c r="M48" s="1">
        <f t="shared" si="210"/>
        <v>0</v>
      </c>
      <c r="N48" s="1">
        <f t="shared" si="211"/>
        <v>0</v>
      </c>
      <c r="O48" s="1">
        <f t="shared" si="212"/>
        <v>0</v>
      </c>
      <c r="P48" s="1">
        <f t="shared" si="213"/>
        <v>0</v>
      </c>
      <c r="Q48" s="1">
        <f t="shared" si="214"/>
        <v>0</v>
      </c>
      <c r="R48" s="1">
        <f t="shared" si="215"/>
        <v>0</v>
      </c>
      <c r="S48" s="1">
        <f t="shared" si="216"/>
        <v>0</v>
      </c>
      <c r="T48" s="1">
        <f t="shared" si="217"/>
        <v>0</v>
      </c>
      <c r="U48" s="1">
        <f t="shared" si="218"/>
        <v>0</v>
      </c>
      <c r="V48" s="1">
        <f t="shared" si="219"/>
        <v>0</v>
      </c>
      <c r="W48" s="1">
        <f t="shared" si="220"/>
        <v>0</v>
      </c>
      <c r="X48" s="1">
        <f t="shared" si="221"/>
        <v>0</v>
      </c>
      <c r="Y48" s="1">
        <f t="shared" si="222"/>
        <v>0</v>
      </c>
      <c r="Z48" s="1">
        <f t="shared" si="223"/>
        <v>0</v>
      </c>
      <c r="AA48" s="1">
        <f t="shared" si="224"/>
        <v>0</v>
      </c>
      <c r="AB48" s="1">
        <f t="shared" si="225"/>
        <v>0</v>
      </c>
      <c r="AC48" s="1">
        <f t="shared" si="226"/>
        <v>0</v>
      </c>
      <c r="AD48" s="1">
        <f t="shared" si="227"/>
        <v>0</v>
      </c>
      <c r="AE48" s="1">
        <f t="shared" si="228"/>
        <v>0</v>
      </c>
      <c r="AF48" s="1">
        <f t="shared" si="229"/>
        <v>0</v>
      </c>
      <c r="AG48" s="1">
        <f t="shared" si="230"/>
        <v>0</v>
      </c>
      <c r="AH48" s="1">
        <f t="shared" si="231"/>
        <v>0</v>
      </c>
      <c r="AI48" s="1">
        <f t="shared" si="232"/>
        <v>0</v>
      </c>
      <c r="AJ48" s="1">
        <f t="shared" si="233"/>
        <v>0</v>
      </c>
      <c r="AK48" s="1">
        <f t="shared" si="234"/>
        <v>0</v>
      </c>
      <c r="AL48" s="1">
        <f t="shared" si="235"/>
        <v>0</v>
      </c>
      <c r="AM48" s="1">
        <f t="shared" si="236"/>
        <v>0</v>
      </c>
      <c r="AN48" s="1">
        <f t="shared" si="237"/>
        <v>0</v>
      </c>
      <c r="AO48" s="1">
        <f t="shared" si="238"/>
        <v>0</v>
      </c>
      <c r="AP48" s="1">
        <f t="shared" si="239"/>
        <v>0</v>
      </c>
      <c r="AQ48" s="1">
        <f t="shared" si="240"/>
        <v>0</v>
      </c>
      <c r="AR48" s="1">
        <f t="shared" si="241"/>
        <v>0</v>
      </c>
      <c r="AS48" s="1">
        <f t="shared" si="242"/>
        <v>0</v>
      </c>
      <c r="AT48" s="1">
        <f t="shared" si="243"/>
        <v>0</v>
      </c>
      <c r="AU48" s="1">
        <f t="shared" si="244"/>
        <v>0</v>
      </c>
      <c r="AV48" s="1">
        <f t="shared" si="245"/>
        <v>0</v>
      </c>
      <c r="AW48" s="1">
        <f t="shared" si="246"/>
        <v>0</v>
      </c>
      <c r="AX48" s="1">
        <f t="shared" si="247"/>
        <v>0</v>
      </c>
      <c r="AY48" s="1">
        <f t="shared" si="248"/>
        <v>0</v>
      </c>
      <c r="AZ48" s="1">
        <f t="shared" si="249"/>
        <v>0</v>
      </c>
      <c r="BA48" s="1">
        <f t="shared" si="250"/>
        <v>0</v>
      </c>
      <c r="BB48" s="1">
        <f t="shared" si="251"/>
        <v>0</v>
      </c>
      <c r="BC48" s="1">
        <f t="shared" si="252"/>
        <v>0</v>
      </c>
      <c r="BD48" s="1">
        <f t="shared" si="253"/>
        <v>0</v>
      </c>
      <c r="BE48" s="1">
        <f t="shared" si="254"/>
        <v>0</v>
      </c>
      <c r="BF48" s="1">
        <f t="shared" si="255"/>
        <v>0</v>
      </c>
      <c r="BG48" s="1">
        <f t="shared" si="256"/>
        <v>0</v>
      </c>
      <c r="BH48" s="1">
        <f t="shared" si="257"/>
        <v>0</v>
      </c>
      <c r="BI48" s="1">
        <f t="shared" si="258"/>
        <v>0</v>
      </c>
      <c r="BJ48" s="1">
        <f t="shared" si="259"/>
        <v>0</v>
      </c>
      <c r="BK48" s="1">
        <f t="shared" si="260"/>
        <v>0</v>
      </c>
      <c r="BL48" s="1">
        <f t="shared" si="261"/>
        <v>0</v>
      </c>
      <c r="BM48" s="1">
        <f t="shared" si="262"/>
        <v>0</v>
      </c>
      <c r="BN48" s="1">
        <f t="shared" si="263"/>
        <v>0</v>
      </c>
      <c r="BO48" s="1">
        <f t="shared" si="264"/>
        <v>0</v>
      </c>
      <c r="BP48" s="1">
        <f t="shared" si="265"/>
        <v>0</v>
      </c>
      <c r="BQ48" s="1">
        <f t="shared" si="266"/>
        <v>0</v>
      </c>
      <c r="BR48" s="1">
        <f t="shared" si="267"/>
        <v>0</v>
      </c>
      <c r="BS48" s="1">
        <f t="shared" si="268"/>
        <v>0</v>
      </c>
      <c r="BT48" s="1">
        <f t="shared" si="269"/>
        <v>0</v>
      </c>
      <c r="BU48" s="1">
        <f t="shared" si="270"/>
        <v>0</v>
      </c>
      <c r="BV48" s="1">
        <f t="shared" si="271"/>
        <v>0</v>
      </c>
      <c r="BW48" s="1">
        <f t="shared" si="272"/>
        <v>0</v>
      </c>
      <c r="BX48" s="1">
        <f t="shared" si="273"/>
        <v>0</v>
      </c>
      <c r="BY48" s="1">
        <f t="shared" si="274"/>
        <v>0</v>
      </c>
      <c r="BZ48" s="1">
        <f t="shared" si="275"/>
        <v>0</v>
      </c>
      <c r="CA48" s="1">
        <f t="shared" si="276"/>
        <v>0</v>
      </c>
      <c r="CB48" s="1">
        <f t="shared" si="277"/>
        <v>0</v>
      </c>
      <c r="CC48" s="1">
        <f t="shared" si="278"/>
        <v>0</v>
      </c>
      <c r="CD48" s="1">
        <f t="shared" si="279"/>
        <v>0</v>
      </c>
      <c r="CE48" s="1">
        <f t="shared" si="280"/>
        <v>0</v>
      </c>
      <c r="CF48" s="1">
        <f t="shared" si="281"/>
        <v>0</v>
      </c>
      <c r="CG48" s="1">
        <f t="shared" si="282"/>
        <v>0</v>
      </c>
      <c r="CH48" s="1">
        <f t="shared" si="283"/>
        <v>0</v>
      </c>
      <c r="CI48" s="1">
        <f t="shared" si="284"/>
        <v>0</v>
      </c>
      <c r="CJ48" s="1">
        <f t="shared" si="285"/>
        <v>0</v>
      </c>
      <c r="CK48" s="1">
        <f t="shared" si="286"/>
        <v>0</v>
      </c>
      <c r="CL48" s="1">
        <f t="shared" si="287"/>
        <v>0</v>
      </c>
      <c r="CM48" s="1">
        <f t="shared" si="288"/>
        <v>0</v>
      </c>
      <c r="CN48" s="1">
        <f t="shared" si="289"/>
        <v>0</v>
      </c>
      <c r="CO48" s="1">
        <f t="shared" si="290"/>
        <v>0</v>
      </c>
      <c r="CP48" s="1">
        <f t="shared" si="291"/>
        <v>0</v>
      </c>
      <c r="CQ48" s="1">
        <f t="shared" si="292"/>
        <v>0</v>
      </c>
      <c r="CR48" s="1">
        <f t="shared" si="293"/>
        <v>0</v>
      </c>
      <c r="CS48" s="1">
        <f t="shared" si="294"/>
        <v>0</v>
      </c>
      <c r="CT48" s="1">
        <f t="shared" si="295"/>
        <v>0</v>
      </c>
      <c r="CU48" s="1">
        <f t="shared" si="296"/>
        <v>0</v>
      </c>
      <c r="CV48" s="1">
        <f t="shared" si="297"/>
        <v>0</v>
      </c>
      <c r="CW48" s="1">
        <f t="shared" si="298"/>
        <v>0</v>
      </c>
      <c r="CX48" s="1">
        <f t="shared" si="299"/>
        <v>0</v>
      </c>
      <c r="CY48" s="1">
        <f t="shared" si="300"/>
        <v>0</v>
      </c>
      <c r="CZ48" s="1">
        <f t="shared" si="301"/>
        <v>0</v>
      </c>
      <c r="DA48" s="1">
        <f t="shared" si="302"/>
        <v>0</v>
      </c>
      <c r="DB48" s="1">
        <f t="shared" si="303"/>
        <v>0</v>
      </c>
      <c r="DC48" s="1">
        <f t="shared" si="304"/>
        <v>0</v>
      </c>
      <c r="DD48" s="1">
        <f t="shared" si="305"/>
        <v>0</v>
      </c>
      <c r="DE48" s="1">
        <f t="shared" si="306"/>
        <v>0</v>
      </c>
      <c r="DF48" s="1">
        <f t="shared" si="307"/>
        <v>0</v>
      </c>
      <c r="DG48" s="1">
        <f t="shared" si="308"/>
        <v>0</v>
      </c>
      <c r="DH48" s="1">
        <f t="shared" si="309"/>
        <v>0</v>
      </c>
      <c r="DI48" s="1">
        <f t="shared" si="310"/>
        <v>0</v>
      </c>
      <c r="DJ48" s="1">
        <f t="shared" si="311"/>
        <v>0</v>
      </c>
      <c r="DK48" s="1">
        <f t="shared" si="312"/>
        <v>0</v>
      </c>
      <c r="DL48" s="1">
        <f t="shared" si="313"/>
        <v>0</v>
      </c>
      <c r="DM48" s="1">
        <f t="shared" si="314"/>
        <v>0</v>
      </c>
      <c r="DN48" s="1">
        <f t="shared" si="315"/>
        <v>0</v>
      </c>
      <c r="DO48" s="1">
        <f t="shared" si="316"/>
        <v>0</v>
      </c>
      <c r="DP48" s="1">
        <f t="shared" si="317"/>
        <v>0</v>
      </c>
      <c r="DQ48" s="1">
        <f t="shared" si="318"/>
        <v>0</v>
      </c>
      <c r="DR48" s="1">
        <f t="shared" si="319"/>
        <v>0</v>
      </c>
      <c r="DS48" s="1">
        <f t="shared" si="320"/>
        <v>0</v>
      </c>
      <c r="DT48" s="1">
        <f t="shared" si="321"/>
        <v>0</v>
      </c>
      <c r="DU48" s="1">
        <f t="shared" si="322"/>
        <v>0</v>
      </c>
      <c r="DV48" s="1">
        <f t="shared" si="323"/>
        <v>0</v>
      </c>
    </row>
    <row r="49" spans="1:126" x14ac:dyDescent="0.25">
      <c r="A49" s="60" t="s">
        <v>215</v>
      </c>
      <c r="B49" s="26"/>
      <c r="C49" s="36">
        <f>+SUMIFS(ValoresMercado,Conceptos,A49,Tipo,TipoEspecifico,Relacion,'Parametros tecnológicos'!$F$7)/12</f>
        <v>226014.21645225445</v>
      </c>
      <c r="D49" s="35"/>
      <c r="E49" s="35">
        <f t="shared" si="37"/>
        <v>56</v>
      </c>
      <c r="F49" s="1">
        <f t="shared" ref="F49" si="324">+IF($A49="","",$B49+IF(MONTH($B$8)-MONTH($B$7)+$E$14=E$14,$C49,0))</f>
        <v>0</v>
      </c>
      <c r="G49" s="1">
        <f t="shared" si="204"/>
        <v>0</v>
      </c>
      <c r="H49" s="1">
        <f t="shared" si="205"/>
        <v>0</v>
      </c>
      <c r="I49" s="1">
        <f t="shared" si="206"/>
        <v>0</v>
      </c>
      <c r="J49" s="1">
        <f t="shared" si="207"/>
        <v>0</v>
      </c>
      <c r="K49" s="1">
        <f t="shared" si="208"/>
        <v>0</v>
      </c>
      <c r="L49" s="1">
        <f t="shared" si="209"/>
        <v>0</v>
      </c>
      <c r="M49" s="1">
        <f t="shared" si="210"/>
        <v>0</v>
      </c>
      <c r="N49" s="1">
        <f t="shared" si="211"/>
        <v>0</v>
      </c>
      <c r="O49" s="1">
        <f t="shared" si="212"/>
        <v>0</v>
      </c>
      <c r="P49" s="1">
        <f t="shared" si="213"/>
        <v>0</v>
      </c>
      <c r="Q49" s="1">
        <f t="shared" si="214"/>
        <v>0</v>
      </c>
      <c r="R49" s="1">
        <f t="shared" si="215"/>
        <v>0</v>
      </c>
      <c r="S49" s="1">
        <f t="shared" si="216"/>
        <v>232794.6429458221</v>
      </c>
      <c r="T49" s="1">
        <f t="shared" si="217"/>
        <v>232794.6429458221</v>
      </c>
      <c r="U49" s="1">
        <f t="shared" si="218"/>
        <v>232794.6429458221</v>
      </c>
      <c r="V49" s="1">
        <f t="shared" si="219"/>
        <v>232794.6429458221</v>
      </c>
      <c r="W49" s="1">
        <f t="shared" si="220"/>
        <v>232794.6429458221</v>
      </c>
      <c r="X49" s="1">
        <f t="shared" si="221"/>
        <v>232794.6429458221</v>
      </c>
      <c r="Y49" s="1">
        <f t="shared" si="222"/>
        <v>232794.6429458221</v>
      </c>
      <c r="Z49" s="1">
        <f t="shared" si="223"/>
        <v>239778.48223419674</v>
      </c>
      <c r="AA49" s="1">
        <f t="shared" si="224"/>
        <v>239778.48223419674</v>
      </c>
      <c r="AB49" s="1">
        <f t="shared" si="225"/>
        <v>239778.48223419674</v>
      </c>
      <c r="AC49" s="1">
        <f t="shared" si="226"/>
        <v>239778.48223419674</v>
      </c>
      <c r="AD49" s="1">
        <f t="shared" si="227"/>
        <v>239778.48223419674</v>
      </c>
      <c r="AE49" s="1">
        <f t="shared" si="228"/>
        <v>239778.48223419674</v>
      </c>
      <c r="AF49" s="1">
        <f t="shared" si="229"/>
        <v>239778.48223419674</v>
      </c>
      <c r="AG49" s="1">
        <f t="shared" si="230"/>
        <v>239778.48223419674</v>
      </c>
      <c r="AH49" s="1">
        <f t="shared" si="231"/>
        <v>239778.48223419674</v>
      </c>
      <c r="AI49" s="1">
        <f t="shared" si="232"/>
        <v>239778.48223419674</v>
      </c>
      <c r="AJ49" s="1">
        <f t="shared" si="233"/>
        <v>239778.48223419674</v>
      </c>
      <c r="AK49" s="1">
        <f t="shared" si="234"/>
        <v>239778.48223419674</v>
      </c>
      <c r="AL49" s="1">
        <f t="shared" si="235"/>
        <v>246971.83670122264</v>
      </c>
      <c r="AM49" s="1">
        <f t="shared" si="236"/>
        <v>246971.83670122264</v>
      </c>
      <c r="AN49" s="1">
        <f t="shared" si="237"/>
        <v>246971.83670122264</v>
      </c>
      <c r="AO49" s="1">
        <f t="shared" si="238"/>
        <v>246971.83670122264</v>
      </c>
      <c r="AP49" s="1">
        <f t="shared" si="239"/>
        <v>246971.83670122264</v>
      </c>
      <c r="AQ49" s="1">
        <f t="shared" si="240"/>
        <v>246971.83670122264</v>
      </c>
      <c r="AR49" s="1">
        <f t="shared" si="241"/>
        <v>246971.83670122264</v>
      </c>
      <c r="AS49" s="1">
        <f t="shared" si="242"/>
        <v>246971.83670122264</v>
      </c>
      <c r="AT49" s="1">
        <f t="shared" si="243"/>
        <v>246971.83670122264</v>
      </c>
      <c r="AU49" s="1">
        <f t="shared" si="244"/>
        <v>246971.83670122264</v>
      </c>
      <c r="AV49" s="1">
        <f t="shared" si="245"/>
        <v>246971.83670122264</v>
      </c>
      <c r="AW49" s="1">
        <f t="shared" si="246"/>
        <v>246971.83670122264</v>
      </c>
      <c r="AX49" s="1">
        <f t="shared" si="247"/>
        <v>254380.99180225935</v>
      </c>
      <c r="AY49" s="1">
        <f t="shared" si="248"/>
        <v>254380.99180225935</v>
      </c>
      <c r="AZ49" s="1">
        <f t="shared" si="249"/>
        <v>254380.99180225935</v>
      </c>
      <c r="BA49" s="1">
        <f t="shared" si="250"/>
        <v>254380.99180225935</v>
      </c>
      <c r="BB49" s="1">
        <f t="shared" si="251"/>
        <v>254380.99180225935</v>
      </c>
      <c r="BC49" s="1">
        <f t="shared" si="252"/>
        <v>254380.99180225935</v>
      </c>
      <c r="BD49" s="1">
        <f t="shared" si="253"/>
        <v>254380.99180225935</v>
      </c>
      <c r="BE49" s="1">
        <f t="shared" si="254"/>
        <v>254380.99180225935</v>
      </c>
      <c r="BF49" s="1">
        <f t="shared" si="255"/>
        <v>254380.99180225935</v>
      </c>
      <c r="BG49" s="1">
        <f t="shared" si="256"/>
        <v>254380.99180225935</v>
      </c>
      <c r="BH49" s="1">
        <f t="shared" si="257"/>
        <v>254380.99180225935</v>
      </c>
      <c r="BI49" s="1">
        <f t="shared" si="258"/>
        <v>254380.99180225935</v>
      </c>
      <c r="BJ49" s="1">
        <f t="shared" si="259"/>
        <v>262012.42155632711</v>
      </c>
      <c r="BK49" s="1">
        <f t="shared" si="260"/>
        <v>0</v>
      </c>
      <c r="BL49" s="1">
        <f t="shared" si="261"/>
        <v>0</v>
      </c>
      <c r="BM49" s="1">
        <f t="shared" si="262"/>
        <v>0</v>
      </c>
      <c r="BN49" s="1">
        <f t="shared" si="263"/>
        <v>0</v>
      </c>
      <c r="BO49" s="1">
        <f t="shared" si="264"/>
        <v>0</v>
      </c>
      <c r="BP49" s="1">
        <f t="shared" si="265"/>
        <v>0</v>
      </c>
      <c r="BQ49" s="1">
        <f t="shared" si="266"/>
        <v>0</v>
      </c>
      <c r="BR49" s="1">
        <f t="shared" si="267"/>
        <v>0</v>
      </c>
      <c r="BS49" s="1">
        <f t="shared" si="268"/>
        <v>0</v>
      </c>
      <c r="BT49" s="1">
        <f t="shared" si="269"/>
        <v>0</v>
      </c>
      <c r="BU49" s="1">
        <f t="shared" si="270"/>
        <v>0</v>
      </c>
      <c r="BV49" s="1">
        <f t="shared" si="271"/>
        <v>0</v>
      </c>
      <c r="BW49" s="1">
        <f t="shared" si="272"/>
        <v>0</v>
      </c>
      <c r="BX49" s="1">
        <f t="shared" si="273"/>
        <v>0</v>
      </c>
      <c r="BY49" s="1">
        <f t="shared" si="274"/>
        <v>0</v>
      </c>
      <c r="BZ49" s="1">
        <f t="shared" si="275"/>
        <v>0</v>
      </c>
      <c r="CA49" s="1">
        <f t="shared" si="276"/>
        <v>0</v>
      </c>
      <c r="CB49" s="1">
        <f t="shared" si="277"/>
        <v>0</v>
      </c>
      <c r="CC49" s="1">
        <f t="shared" si="278"/>
        <v>0</v>
      </c>
      <c r="CD49" s="1">
        <f t="shared" si="279"/>
        <v>0</v>
      </c>
      <c r="CE49" s="1">
        <f t="shared" si="280"/>
        <v>0</v>
      </c>
      <c r="CF49" s="1">
        <f t="shared" si="281"/>
        <v>0</v>
      </c>
      <c r="CG49" s="1">
        <f t="shared" si="282"/>
        <v>0</v>
      </c>
      <c r="CH49" s="1">
        <f t="shared" si="283"/>
        <v>0</v>
      </c>
      <c r="CI49" s="1">
        <f t="shared" si="284"/>
        <v>0</v>
      </c>
      <c r="CJ49" s="1">
        <f t="shared" si="285"/>
        <v>0</v>
      </c>
      <c r="CK49" s="1">
        <f t="shared" si="286"/>
        <v>0</v>
      </c>
      <c r="CL49" s="1">
        <f t="shared" si="287"/>
        <v>0</v>
      </c>
      <c r="CM49" s="1">
        <f t="shared" si="288"/>
        <v>0</v>
      </c>
      <c r="CN49" s="1">
        <f t="shared" si="289"/>
        <v>0</v>
      </c>
      <c r="CO49" s="1">
        <f t="shared" si="290"/>
        <v>0</v>
      </c>
      <c r="CP49" s="1">
        <f t="shared" si="291"/>
        <v>0</v>
      </c>
      <c r="CQ49" s="1">
        <f t="shared" si="292"/>
        <v>0</v>
      </c>
      <c r="CR49" s="1">
        <f t="shared" si="293"/>
        <v>0</v>
      </c>
      <c r="CS49" s="1">
        <f t="shared" si="294"/>
        <v>0</v>
      </c>
      <c r="CT49" s="1">
        <f t="shared" si="295"/>
        <v>0</v>
      </c>
      <c r="CU49" s="1">
        <f t="shared" si="296"/>
        <v>0</v>
      </c>
      <c r="CV49" s="1">
        <f t="shared" si="297"/>
        <v>0</v>
      </c>
      <c r="CW49" s="1">
        <f t="shared" si="298"/>
        <v>0</v>
      </c>
      <c r="CX49" s="1">
        <f t="shared" si="299"/>
        <v>0</v>
      </c>
      <c r="CY49" s="1">
        <f t="shared" si="300"/>
        <v>0</v>
      </c>
      <c r="CZ49" s="1">
        <f t="shared" si="301"/>
        <v>0</v>
      </c>
      <c r="DA49" s="1">
        <f t="shared" si="302"/>
        <v>0</v>
      </c>
      <c r="DB49" s="1">
        <f t="shared" si="303"/>
        <v>0</v>
      </c>
      <c r="DC49" s="1">
        <f t="shared" si="304"/>
        <v>0</v>
      </c>
      <c r="DD49" s="1">
        <f t="shared" si="305"/>
        <v>0</v>
      </c>
      <c r="DE49" s="1">
        <f t="shared" si="306"/>
        <v>0</v>
      </c>
      <c r="DF49" s="1">
        <f t="shared" si="307"/>
        <v>0</v>
      </c>
      <c r="DG49" s="1">
        <f t="shared" si="308"/>
        <v>0</v>
      </c>
      <c r="DH49" s="1">
        <f t="shared" si="309"/>
        <v>0</v>
      </c>
      <c r="DI49" s="1">
        <f t="shared" si="310"/>
        <v>0</v>
      </c>
      <c r="DJ49" s="1">
        <f t="shared" si="311"/>
        <v>0</v>
      </c>
      <c r="DK49" s="1">
        <f t="shared" si="312"/>
        <v>0</v>
      </c>
      <c r="DL49" s="1">
        <f t="shared" si="313"/>
        <v>0</v>
      </c>
      <c r="DM49" s="1">
        <f t="shared" si="314"/>
        <v>0</v>
      </c>
      <c r="DN49" s="1">
        <f t="shared" si="315"/>
        <v>0</v>
      </c>
      <c r="DO49" s="1">
        <f t="shared" si="316"/>
        <v>0</v>
      </c>
      <c r="DP49" s="1">
        <f t="shared" si="317"/>
        <v>0</v>
      </c>
      <c r="DQ49" s="1">
        <f t="shared" si="318"/>
        <v>0</v>
      </c>
      <c r="DR49" s="1">
        <f t="shared" si="319"/>
        <v>0</v>
      </c>
      <c r="DS49" s="1">
        <f t="shared" si="320"/>
        <v>0</v>
      </c>
      <c r="DT49" s="1">
        <f t="shared" si="321"/>
        <v>0</v>
      </c>
      <c r="DU49" s="1">
        <f t="shared" si="322"/>
        <v>0</v>
      </c>
      <c r="DV49" s="1">
        <f t="shared" si="323"/>
        <v>0</v>
      </c>
    </row>
    <row r="50" spans="1:126" x14ac:dyDescent="0.25">
      <c r="A50" s="26" t="s">
        <v>19</v>
      </c>
      <c r="B50" s="36">
        <f>+SUMIFS(ValoresMercado,Conceptos,A50,Relacion,'Parametros tecnológicos'!$F$7,Tipo,TipoEspecifico)</f>
        <v>17740633.5</v>
      </c>
      <c r="C50" s="26"/>
      <c r="D50" s="35"/>
      <c r="E50" s="35">
        <f t="shared" si="37"/>
        <v>56</v>
      </c>
      <c r="F50" s="1">
        <f t="shared" ref="F50:BQ52" si="325">+IF($A50="","",IF($D50=F$15,$B50+IF(MONTH($B$8)-MONTH($B$7)+$E$14=E$14,$C50,0),0))</f>
        <v>17740633.5</v>
      </c>
      <c r="G50" s="1">
        <f t="shared" si="325"/>
        <v>0</v>
      </c>
      <c r="H50" s="1">
        <f t="shared" si="325"/>
        <v>0</v>
      </c>
      <c r="I50" s="1">
        <f t="shared" si="325"/>
        <v>0</v>
      </c>
      <c r="J50" s="1">
        <f t="shared" si="325"/>
        <v>0</v>
      </c>
      <c r="K50" s="1">
        <f t="shared" si="325"/>
        <v>0</v>
      </c>
      <c r="L50" s="1">
        <f t="shared" si="325"/>
        <v>0</v>
      </c>
      <c r="M50" s="1">
        <f t="shared" si="325"/>
        <v>0</v>
      </c>
      <c r="N50" s="1">
        <f t="shared" si="325"/>
        <v>0</v>
      </c>
      <c r="O50" s="1">
        <f t="shared" si="325"/>
        <v>0</v>
      </c>
      <c r="P50" s="1">
        <f t="shared" si="325"/>
        <v>0</v>
      </c>
      <c r="Q50" s="1">
        <f t="shared" si="325"/>
        <v>0</v>
      </c>
      <c r="R50" s="1">
        <f t="shared" si="325"/>
        <v>0</v>
      </c>
      <c r="S50" s="1">
        <f t="shared" si="325"/>
        <v>0</v>
      </c>
      <c r="T50" s="1">
        <f t="shared" si="325"/>
        <v>0</v>
      </c>
      <c r="U50" s="1">
        <f t="shared" si="325"/>
        <v>0</v>
      </c>
      <c r="V50" s="1">
        <f t="shared" si="325"/>
        <v>0</v>
      </c>
      <c r="W50" s="1">
        <f t="shared" si="325"/>
        <v>0</v>
      </c>
      <c r="X50" s="1">
        <f t="shared" si="325"/>
        <v>0</v>
      </c>
      <c r="Y50" s="1">
        <f t="shared" si="325"/>
        <v>0</v>
      </c>
      <c r="Z50" s="1">
        <f t="shared" si="325"/>
        <v>0</v>
      </c>
      <c r="AA50" s="1">
        <f t="shared" si="325"/>
        <v>0</v>
      </c>
      <c r="AB50" s="1">
        <f t="shared" si="325"/>
        <v>0</v>
      </c>
      <c r="AC50" s="1">
        <f t="shared" si="325"/>
        <v>0</v>
      </c>
      <c r="AD50" s="1">
        <f t="shared" si="325"/>
        <v>0</v>
      </c>
      <c r="AE50" s="1">
        <f t="shared" si="325"/>
        <v>0</v>
      </c>
      <c r="AF50" s="1">
        <f t="shared" si="325"/>
        <v>0</v>
      </c>
      <c r="AG50" s="1">
        <f t="shared" si="325"/>
        <v>0</v>
      </c>
      <c r="AH50" s="1">
        <f t="shared" si="325"/>
        <v>0</v>
      </c>
      <c r="AI50" s="1">
        <f t="shared" si="325"/>
        <v>0</v>
      </c>
      <c r="AJ50" s="1">
        <f t="shared" si="325"/>
        <v>0</v>
      </c>
      <c r="AK50" s="1">
        <f t="shared" si="325"/>
        <v>0</v>
      </c>
      <c r="AL50" s="1">
        <f t="shared" si="325"/>
        <v>0</v>
      </c>
      <c r="AM50" s="1">
        <f t="shared" si="325"/>
        <v>0</v>
      </c>
      <c r="AN50" s="1">
        <f t="shared" si="325"/>
        <v>0</v>
      </c>
      <c r="AO50" s="1">
        <f t="shared" si="325"/>
        <v>0</v>
      </c>
      <c r="AP50" s="1">
        <f t="shared" si="325"/>
        <v>0</v>
      </c>
      <c r="AQ50" s="1">
        <f t="shared" si="325"/>
        <v>0</v>
      </c>
      <c r="AR50" s="1">
        <f t="shared" si="325"/>
        <v>0</v>
      </c>
      <c r="AS50" s="1">
        <f t="shared" si="325"/>
        <v>0</v>
      </c>
      <c r="AT50" s="1">
        <f t="shared" si="325"/>
        <v>0</v>
      </c>
      <c r="AU50" s="1">
        <f t="shared" si="325"/>
        <v>0</v>
      </c>
      <c r="AV50" s="1">
        <f t="shared" si="325"/>
        <v>0</v>
      </c>
      <c r="AW50" s="1">
        <f t="shared" si="325"/>
        <v>0</v>
      </c>
      <c r="AX50" s="1">
        <f t="shared" si="325"/>
        <v>0</v>
      </c>
      <c r="AY50" s="1">
        <f t="shared" si="325"/>
        <v>0</v>
      </c>
      <c r="AZ50" s="1">
        <f t="shared" si="325"/>
        <v>0</v>
      </c>
      <c r="BA50" s="1">
        <f t="shared" si="325"/>
        <v>0</v>
      </c>
      <c r="BB50" s="1">
        <f t="shared" si="325"/>
        <v>0</v>
      </c>
      <c r="BC50" s="1">
        <f t="shared" si="325"/>
        <v>0</v>
      </c>
      <c r="BD50" s="1">
        <f t="shared" si="325"/>
        <v>0</v>
      </c>
      <c r="BE50" s="1">
        <f t="shared" si="325"/>
        <v>0</v>
      </c>
      <c r="BF50" s="1">
        <f t="shared" si="325"/>
        <v>0</v>
      </c>
      <c r="BG50" s="1">
        <f t="shared" si="325"/>
        <v>0</v>
      </c>
      <c r="BH50" s="1">
        <f t="shared" si="325"/>
        <v>0</v>
      </c>
      <c r="BI50" s="1">
        <f t="shared" si="325"/>
        <v>0</v>
      </c>
      <c r="BJ50" s="1">
        <f t="shared" si="325"/>
        <v>0</v>
      </c>
      <c r="BK50" s="1">
        <f t="shared" si="325"/>
        <v>0</v>
      </c>
      <c r="BL50" s="1">
        <f t="shared" si="325"/>
        <v>0</v>
      </c>
      <c r="BM50" s="1">
        <f t="shared" si="325"/>
        <v>0</v>
      </c>
      <c r="BN50" s="1">
        <f t="shared" si="325"/>
        <v>0</v>
      </c>
      <c r="BO50" s="1">
        <f t="shared" si="325"/>
        <v>0</v>
      </c>
      <c r="BP50" s="1">
        <f t="shared" si="325"/>
        <v>0</v>
      </c>
      <c r="BQ50" s="1">
        <f t="shared" si="325"/>
        <v>0</v>
      </c>
      <c r="BR50" s="1">
        <f t="shared" ref="BR50:DV52" si="326">+IF($A50="","",IF($D50=BR$15,$B50+IF(MONTH($B$8)-MONTH($B$7)+$E$14=BQ$14,$C50,0),0))</f>
        <v>0</v>
      </c>
      <c r="BS50" s="1">
        <f t="shared" si="326"/>
        <v>0</v>
      </c>
      <c r="BT50" s="1">
        <f t="shared" si="326"/>
        <v>0</v>
      </c>
      <c r="BU50" s="1">
        <f t="shared" si="326"/>
        <v>0</v>
      </c>
      <c r="BV50" s="1">
        <f t="shared" si="326"/>
        <v>0</v>
      </c>
      <c r="BW50" s="1">
        <f t="shared" si="326"/>
        <v>0</v>
      </c>
      <c r="BX50" s="1">
        <f t="shared" si="326"/>
        <v>0</v>
      </c>
      <c r="BY50" s="1">
        <f t="shared" si="326"/>
        <v>0</v>
      </c>
      <c r="BZ50" s="1">
        <f t="shared" si="326"/>
        <v>0</v>
      </c>
      <c r="CA50" s="1">
        <f t="shared" si="326"/>
        <v>0</v>
      </c>
      <c r="CB50" s="1">
        <f t="shared" si="326"/>
        <v>0</v>
      </c>
      <c r="CC50" s="1">
        <f t="shared" si="326"/>
        <v>0</v>
      </c>
      <c r="CD50" s="1">
        <f t="shared" si="326"/>
        <v>0</v>
      </c>
      <c r="CE50" s="1">
        <f t="shared" si="326"/>
        <v>0</v>
      </c>
      <c r="CF50" s="1">
        <f t="shared" si="326"/>
        <v>0</v>
      </c>
      <c r="CG50" s="1">
        <f t="shared" si="326"/>
        <v>0</v>
      </c>
      <c r="CH50" s="1">
        <f t="shared" si="326"/>
        <v>0</v>
      </c>
      <c r="CI50" s="1">
        <f t="shared" si="326"/>
        <v>0</v>
      </c>
      <c r="CJ50" s="1">
        <f t="shared" si="326"/>
        <v>0</v>
      </c>
      <c r="CK50" s="1">
        <f t="shared" si="326"/>
        <v>0</v>
      </c>
      <c r="CL50" s="1">
        <f t="shared" si="326"/>
        <v>0</v>
      </c>
      <c r="CM50" s="1">
        <f t="shared" si="326"/>
        <v>0</v>
      </c>
      <c r="CN50" s="1">
        <f t="shared" si="326"/>
        <v>0</v>
      </c>
      <c r="CO50" s="1">
        <f t="shared" si="326"/>
        <v>0</v>
      </c>
      <c r="CP50" s="1">
        <f t="shared" si="326"/>
        <v>0</v>
      </c>
      <c r="CQ50" s="1">
        <f t="shared" si="326"/>
        <v>0</v>
      </c>
      <c r="CR50" s="1">
        <f t="shared" si="326"/>
        <v>0</v>
      </c>
      <c r="CS50" s="1">
        <f t="shared" si="326"/>
        <v>0</v>
      </c>
      <c r="CT50" s="1">
        <f t="shared" si="326"/>
        <v>0</v>
      </c>
      <c r="CU50" s="1">
        <f t="shared" si="326"/>
        <v>0</v>
      </c>
      <c r="CV50" s="1">
        <f t="shared" si="326"/>
        <v>0</v>
      </c>
      <c r="CW50" s="1">
        <f t="shared" si="326"/>
        <v>0</v>
      </c>
      <c r="CX50" s="1">
        <f t="shared" si="326"/>
        <v>0</v>
      </c>
      <c r="CY50" s="1">
        <f t="shared" si="326"/>
        <v>0</v>
      </c>
      <c r="CZ50" s="1">
        <f t="shared" si="326"/>
        <v>0</v>
      </c>
      <c r="DA50" s="1">
        <f t="shared" si="326"/>
        <v>0</v>
      </c>
      <c r="DB50" s="1">
        <f t="shared" si="326"/>
        <v>0</v>
      </c>
      <c r="DC50" s="1">
        <f t="shared" si="326"/>
        <v>0</v>
      </c>
      <c r="DD50" s="1">
        <f t="shared" si="326"/>
        <v>0</v>
      </c>
      <c r="DE50" s="1">
        <f t="shared" si="326"/>
        <v>0</v>
      </c>
      <c r="DF50" s="1">
        <f t="shared" si="326"/>
        <v>0</v>
      </c>
      <c r="DG50" s="1">
        <f t="shared" si="326"/>
        <v>0</v>
      </c>
      <c r="DH50" s="1">
        <f t="shared" si="326"/>
        <v>0</v>
      </c>
      <c r="DI50" s="1">
        <f t="shared" si="326"/>
        <v>0</v>
      </c>
      <c r="DJ50" s="1">
        <f t="shared" si="326"/>
        <v>0</v>
      </c>
      <c r="DK50" s="1">
        <f t="shared" si="326"/>
        <v>0</v>
      </c>
      <c r="DL50" s="1">
        <f t="shared" si="326"/>
        <v>0</v>
      </c>
      <c r="DM50" s="1">
        <f t="shared" si="326"/>
        <v>0</v>
      </c>
      <c r="DN50" s="1">
        <f t="shared" si="326"/>
        <v>0</v>
      </c>
      <c r="DO50" s="1">
        <f t="shared" si="326"/>
        <v>0</v>
      </c>
      <c r="DP50" s="1">
        <f t="shared" si="326"/>
        <v>0</v>
      </c>
      <c r="DQ50" s="1">
        <f t="shared" si="326"/>
        <v>0</v>
      </c>
      <c r="DR50" s="1">
        <f t="shared" si="326"/>
        <v>0</v>
      </c>
      <c r="DS50" s="1">
        <f t="shared" si="326"/>
        <v>0</v>
      </c>
      <c r="DT50" s="1">
        <f t="shared" si="326"/>
        <v>0</v>
      </c>
      <c r="DU50" s="1">
        <f t="shared" si="326"/>
        <v>0</v>
      </c>
      <c r="DV50" s="1">
        <f t="shared" si="326"/>
        <v>0</v>
      </c>
    </row>
    <row r="51" spans="1:126" x14ac:dyDescent="0.25">
      <c r="A51" s="26" t="s">
        <v>3</v>
      </c>
      <c r="B51" s="36">
        <f>+SUMIFS(ValoresMercado,Conceptos,A51,Relacion,'Parametros tecnológicos'!$F$7,Tipo,TipoEspecifico,ClaseTorreRango,ClaseTorre)</f>
        <v>82415267.5</v>
      </c>
      <c r="C51" s="26"/>
      <c r="D51" s="35"/>
      <c r="E51" s="35">
        <f t="shared" si="37"/>
        <v>56</v>
      </c>
      <c r="F51" s="1">
        <f t="shared" ref="F51:F52" si="327">+IF($A51="","",IF($D51=F$15,$B51+IF(MONTH($B$8)-MONTH($B$7)+$E$14=E$14,$C51,0),0))</f>
        <v>82415267.5</v>
      </c>
      <c r="G51" s="1">
        <f t="shared" si="325"/>
        <v>0</v>
      </c>
      <c r="H51" s="1">
        <f t="shared" si="325"/>
        <v>0</v>
      </c>
      <c r="I51" s="1">
        <f t="shared" si="325"/>
        <v>0</v>
      </c>
      <c r="J51" s="1">
        <f t="shared" si="325"/>
        <v>0</v>
      </c>
      <c r="K51" s="1">
        <f t="shared" si="325"/>
        <v>0</v>
      </c>
      <c r="L51" s="1">
        <f t="shared" si="325"/>
        <v>0</v>
      </c>
      <c r="M51" s="1">
        <f t="shared" si="325"/>
        <v>0</v>
      </c>
      <c r="N51" s="1">
        <f t="shared" si="325"/>
        <v>0</v>
      </c>
      <c r="O51" s="1">
        <f t="shared" si="325"/>
        <v>0</v>
      </c>
      <c r="P51" s="1">
        <f t="shared" si="325"/>
        <v>0</v>
      </c>
      <c r="Q51" s="1">
        <f t="shared" si="325"/>
        <v>0</v>
      </c>
      <c r="R51" s="1">
        <f t="shared" si="325"/>
        <v>0</v>
      </c>
      <c r="S51" s="1">
        <f t="shared" si="325"/>
        <v>0</v>
      </c>
      <c r="T51" s="1">
        <f t="shared" si="325"/>
        <v>0</v>
      </c>
      <c r="U51" s="1">
        <f t="shared" si="325"/>
        <v>0</v>
      </c>
      <c r="V51" s="1">
        <f t="shared" si="325"/>
        <v>0</v>
      </c>
      <c r="W51" s="1">
        <f t="shared" si="325"/>
        <v>0</v>
      </c>
      <c r="X51" s="1">
        <f t="shared" si="325"/>
        <v>0</v>
      </c>
      <c r="Y51" s="1">
        <f t="shared" si="325"/>
        <v>0</v>
      </c>
      <c r="Z51" s="1">
        <f t="shared" si="325"/>
        <v>0</v>
      </c>
      <c r="AA51" s="1">
        <f t="shared" si="325"/>
        <v>0</v>
      </c>
      <c r="AB51" s="1">
        <f t="shared" si="325"/>
        <v>0</v>
      </c>
      <c r="AC51" s="1">
        <f t="shared" si="325"/>
        <v>0</v>
      </c>
      <c r="AD51" s="1">
        <f t="shared" si="325"/>
        <v>0</v>
      </c>
      <c r="AE51" s="1">
        <f t="shared" si="325"/>
        <v>0</v>
      </c>
      <c r="AF51" s="1">
        <f t="shared" si="325"/>
        <v>0</v>
      </c>
      <c r="AG51" s="1">
        <f t="shared" si="325"/>
        <v>0</v>
      </c>
      <c r="AH51" s="1">
        <f t="shared" si="325"/>
        <v>0</v>
      </c>
      <c r="AI51" s="1">
        <f t="shared" si="325"/>
        <v>0</v>
      </c>
      <c r="AJ51" s="1">
        <f t="shared" si="325"/>
        <v>0</v>
      </c>
      <c r="AK51" s="1">
        <f t="shared" si="325"/>
        <v>0</v>
      </c>
      <c r="AL51" s="1">
        <f t="shared" si="325"/>
        <v>0</v>
      </c>
      <c r="AM51" s="1">
        <f t="shared" si="325"/>
        <v>0</v>
      </c>
      <c r="AN51" s="1">
        <f t="shared" si="325"/>
        <v>0</v>
      </c>
      <c r="AO51" s="1">
        <f t="shared" si="325"/>
        <v>0</v>
      </c>
      <c r="AP51" s="1">
        <f t="shared" si="325"/>
        <v>0</v>
      </c>
      <c r="AQ51" s="1">
        <f t="shared" si="325"/>
        <v>0</v>
      </c>
      <c r="AR51" s="1">
        <f t="shared" si="325"/>
        <v>0</v>
      </c>
      <c r="AS51" s="1">
        <f t="shared" si="325"/>
        <v>0</v>
      </c>
      <c r="AT51" s="1">
        <f t="shared" si="325"/>
        <v>0</v>
      </c>
      <c r="AU51" s="1">
        <f t="shared" si="325"/>
        <v>0</v>
      </c>
      <c r="AV51" s="1">
        <f t="shared" si="325"/>
        <v>0</v>
      </c>
      <c r="AW51" s="1">
        <f t="shared" si="325"/>
        <v>0</v>
      </c>
      <c r="AX51" s="1">
        <f t="shared" si="325"/>
        <v>0</v>
      </c>
      <c r="AY51" s="1">
        <f t="shared" si="325"/>
        <v>0</v>
      </c>
      <c r="AZ51" s="1">
        <f t="shared" si="325"/>
        <v>0</v>
      </c>
      <c r="BA51" s="1">
        <f t="shared" si="325"/>
        <v>0</v>
      </c>
      <c r="BB51" s="1">
        <f t="shared" si="325"/>
        <v>0</v>
      </c>
      <c r="BC51" s="1">
        <f t="shared" si="325"/>
        <v>0</v>
      </c>
      <c r="BD51" s="1">
        <f t="shared" si="325"/>
        <v>0</v>
      </c>
      <c r="BE51" s="1">
        <f t="shared" si="325"/>
        <v>0</v>
      </c>
      <c r="BF51" s="1">
        <f t="shared" si="325"/>
        <v>0</v>
      </c>
      <c r="BG51" s="1">
        <f t="shared" si="325"/>
        <v>0</v>
      </c>
      <c r="BH51" s="1">
        <f t="shared" si="325"/>
        <v>0</v>
      </c>
      <c r="BI51" s="1">
        <f t="shared" si="325"/>
        <v>0</v>
      </c>
      <c r="BJ51" s="1">
        <f t="shared" si="325"/>
        <v>0</v>
      </c>
      <c r="BK51" s="1">
        <f t="shared" si="325"/>
        <v>0</v>
      </c>
      <c r="BL51" s="1">
        <f t="shared" si="325"/>
        <v>0</v>
      </c>
      <c r="BM51" s="1">
        <f t="shared" si="325"/>
        <v>0</v>
      </c>
      <c r="BN51" s="1">
        <f t="shared" si="325"/>
        <v>0</v>
      </c>
      <c r="BO51" s="1">
        <f t="shared" si="325"/>
        <v>0</v>
      </c>
      <c r="BP51" s="1">
        <f t="shared" si="325"/>
        <v>0</v>
      </c>
      <c r="BQ51" s="1">
        <f t="shared" si="325"/>
        <v>0</v>
      </c>
      <c r="BR51" s="1">
        <f t="shared" si="326"/>
        <v>0</v>
      </c>
      <c r="BS51" s="1">
        <f t="shared" si="326"/>
        <v>0</v>
      </c>
      <c r="BT51" s="1">
        <f t="shared" si="326"/>
        <v>0</v>
      </c>
      <c r="BU51" s="1">
        <f t="shared" si="326"/>
        <v>0</v>
      </c>
      <c r="BV51" s="1">
        <f t="shared" si="326"/>
        <v>0</v>
      </c>
      <c r="BW51" s="1">
        <f t="shared" si="326"/>
        <v>0</v>
      </c>
      <c r="BX51" s="1">
        <f t="shared" si="326"/>
        <v>0</v>
      </c>
      <c r="BY51" s="1">
        <f t="shared" si="326"/>
        <v>0</v>
      </c>
      <c r="BZ51" s="1">
        <f t="shared" si="326"/>
        <v>0</v>
      </c>
      <c r="CA51" s="1">
        <f t="shared" si="326"/>
        <v>0</v>
      </c>
      <c r="CB51" s="1">
        <f t="shared" si="326"/>
        <v>0</v>
      </c>
      <c r="CC51" s="1">
        <f t="shared" si="326"/>
        <v>0</v>
      </c>
      <c r="CD51" s="1">
        <f t="shared" si="326"/>
        <v>0</v>
      </c>
      <c r="CE51" s="1">
        <f t="shared" si="326"/>
        <v>0</v>
      </c>
      <c r="CF51" s="1">
        <f t="shared" si="326"/>
        <v>0</v>
      </c>
      <c r="CG51" s="1">
        <f t="shared" si="326"/>
        <v>0</v>
      </c>
      <c r="CH51" s="1">
        <f t="shared" si="326"/>
        <v>0</v>
      </c>
      <c r="CI51" s="1">
        <f t="shared" si="326"/>
        <v>0</v>
      </c>
      <c r="CJ51" s="1">
        <f t="shared" si="326"/>
        <v>0</v>
      </c>
      <c r="CK51" s="1">
        <f t="shared" si="326"/>
        <v>0</v>
      </c>
      <c r="CL51" s="1">
        <f t="shared" si="326"/>
        <v>0</v>
      </c>
      <c r="CM51" s="1">
        <f t="shared" si="326"/>
        <v>0</v>
      </c>
      <c r="CN51" s="1">
        <f t="shared" si="326"/>
        <v>0</v>
      </c>
      <c r="CO51" s="1">
        <f t="shared" si="326"/>
        <v>0</v>
      </c>
      <c r="CP51" s="1">
        <f t="shared" si="326"/>
        <v>0</v>
      </c>
      <c r="CQ51" s="1">
        <f t="shared" si="326"/>
        <v>0</v>
      </c>
      <c r="CR51" s="1">
        <f t="shared" si="326"/>
        <v>0</v>
      </c>
      <c r="CS51" s="1">
        <f t="shared" si="326"/>
        <v>0</v>
      </c>
      <c r="CT51" s="1">
        <f t="shared" si="326"/>
        <v>0</v>
      </c>
      <c r="CU51" s="1">
        <f t="shared" si="326"/>
        <v>0</v>
      </c>
      <c r="CV51" s="1">
        <f t="shared" si="326"/>
        <v>0</v>
      </c>
      <c r="CW51" s="1">
        <f t="shared" si="326"/>
        <v>0</v>
      </c>
      <c r="CX51" s="1">
        <f t="shared" si="326"/>
        <v>0</v>
      </c>
      <c r="CY51" s="1">
        <f t="shared" si="326"/>
        <v>0</v>
      </c>
      <c r="CZ51" s="1">
        <f t="shared" si="326"/>
        <v>0</v>
      </c>
      <c r="DA51" s="1">
        <f t="shared" si="326"/>
        <v>0</v>
      </c>
      <c r="DB51" s="1">
        <f t="shared" si="326"/>
        <v>0</v>
      </c>
      <c r="DC51" s="1">
        <f t="shared" si="326"/>
        <v>0</v>
      </c>
      <c r="DD51" s="1">
        <f t="shared" si="326"/>
        <v>0</v>
      </c>
      <c r="DE51" s="1">
        <f t="shared" si="326"/>
        <v>0</v>
      </c>
      <c r="DF51" s="1">
        <f t="shared" si="326"/>
        <v>0</v>
      </c>
      <c r="DG51" s="1">
        <f t="shared" si="326"/>
        <v>0</v>
      </c>
      <c r="DH51" s="1">
        <f t="shared" si="326"/>
        <v>0</v>
      </c>
      <c r="DI51" s="1">
        <f t="shared" si="326"/>
        <v>0</v>
      </c>
      <c r="DJ51" s="1">
        <f t="shared" si="326"/>
        <v>0</v>
      </c>
      <c r="DK51" s="1">
        <f t="shared" si="326"/>
        <v>0</v>
      </c>
      <c r="DL51" s="1">
        <f t="shared" si="326"/>
        <v>0</v>
      </c>
      <c r="DM51" s="1">
        <f t="shared" si="326"/>
        <v>0</v>
      </c>
      <c r="DN51" s="1">
        <f t="shared" si="326"/>
        <v>0</v>
      </c>
      <c r="DO51" s="1">
        <f t="shared" si="326"/>
        <v>0</v>
      </c>
      <c r="DP51" s="1">
        <f t="shared" si="326"/>
        <v>0</v>
      </c>
      <c r="DQ51" s="1">
        <f t="shared" si="326"/>
        <v>0</v>
      </c>
      <c r="DR51" s="1">
        <f t="shared" si="326"/>
        <v>0</v>
      </c>
      <c r="DS51" s="1">
        <f t="shared" si="326"/>
        <v>0</v>
      </c>
      <c r="DT51" s="1">
        <f t="shared" si="326"/>
        <v>0</v>
      </c>
      <c r="DU51" s="1">
        <f t="shared" si="326"/>
        <v>0</v>
      </c>
      <c r="DV51" s="1">
        <f t="shared" si="326"/>
        <v>0</v>
      </c>
    </row>
    <row r="52" spans="1:126" ht="16.5" thickBot="1" x14ac:dyDescent="0.3">
      <c r="A52" s="26" t="s">
        <v>2</v>
      </c>
      <c r="B52" s="36">
        <f>+SUMIFS(ValoresMercado,Conceptos,A52,Relacion,'Parametros tecnológicos'!$F$7,Tipo,TipoEspecifico,ClaseTorreRango,ClaseTorre)</f>
        <v>0</v>
      </c>
      <c r="C52" s="26"/>
      <c r="D52" s="35"/>
      <c r="E52" s="35">
        <f t="shared" si="37"/>
        <v>56</v>
      </c>
      <c r="F52" s="1">
        <f t="shared" si="327"/>
        <v>0</v>
      </c>
      <c r="G52" s="1">
        <f t="shared" si="325"/>
        <v>0</v>
      </c>
      <c r="H52" s="1">
        <f t="shared" si="325"/>
        <v>0</v>
      </c>
      <c r="I52" s="1">
        <f t="shared" si="325"/>
        <v>0</v>
      </c>
      <c r="J52" s="1">
        <f t="shared" si="325"/>
        <v>0</v>
      </c>
      <c r="K52" s="1">
        <f t="shared" si="325"/>
        <v>0</v>
      </c>
      <c r="L52" s="1">
        <f t="shared" si="325"/>
        <v>0</v>
      </c>
      <c r="M52" s="1">
        <f t="shared" si="325"/>
        <v>0</v>
      </c>
      <c r="N52" s="1">
        <f t="shared" si="325"/>
        <v>0</v>
      </c>
      <c r="O52" s="1">
        <f t="shared" si="325"/>
        <v>0</v>
      </c>
      <c r="P52" s="1">
        <f t="shared" si="325"/>
        <v>0</v>
      </c>
      <c r="Q52" s="1">
        <f t="shared" si="325"/>
        <v>0</v>
      </c>
      <c r="R52" s="1">
        <f t="shared" si="325"/>
        <v>0</v>
      </c>
      <c r="S52" s="1">
        <f t="shared" si="325"/>
        <v>0</v>
      </c>
      <c r="T52" s="1">
        <f t="shared" si="325"/>
        <v>0</v>
      </c>
      <c r="U52" s="1">
        <f t="shared" si="325"/>
        <v>0</v>
      </c>
      <c r="V52" s="1">
        <f t="shared" si="325"/>
        <v>0</v>
      </c>
      <c r="W52" s="1">
        <f t="shared" si="325"/>
        <v>0</v>
      </c>
      <c r="X52" s="1">
        <f t="shared" si="325"/>
        <v>0</v>
      </c>
      <c r="Y52" s="1">
        <f t="shared" si="325"/>
        <v>0</v>
      </c>
      <c r="Z52" s="1">
        <f t="shared" si="325"/>
        <v>0</v>
      </c>
      <c r="AA52" s="1">
        <f t="shared" si="325"/>
        <v>0</v>
      </c>
      <c r="AB52" s="1">
        <f t="shared" si="325"/>
        <v>0</v>
      </c>
      <c r="AC52" s="1">
        <f t="shared" si="325"/>
        <v>0</v>
      </c>
      <c r="AD52" s="1">
        <f t="shared" si="325"/>
        <v>0</v>
      </c>
      <c r="AE52" s="1">
        <f t="shared" si="325"/>
        <v>0</v>
      </c>
      <c r="AF52" s="1">
        <f t="shared" si="325"/>
        <v>0</v>
      </c>
      <c r="AG52" s="1">
        <f t="shared" si="325"/>
        <v>0</v>
      </c>
      <c r="AH52" s="1">
        <f t="shared" si="325"/>
        <v>0</v>
      </c>
      <c r="AI52" s="1">
        <f t="shared" si="325"/>
        <v>0</v>
      </c>
      <c r="AJ52" s="1">
        <f t="shared" si="325"/>
        <v>0</v>
      </c>
      <c r="AK52" s="1">
        <f t="shared" si="325"/>
        <v>0</v>
      </c>
      <c r="AL52" s="1">
        <f t="shared" si="325"/>
        <v>0</v>
      </c>
      <c r="AM52" s="1">
        <f t="shared" si="325"/>
        <v>0</v>
      </c>
      <c r="AN52" s="1">
        <f t="shared" si="325"/>
        <v>0</v>
      </c>
      <c r="AO52" s="1">
        <f t="shared" si="325"/>
        <v>0</v>
      </c>
      <c r="AP52" s="1">
        <f t="shared" si="325"/>
        <v>0</v>
      </c>
      <c r="AQ52" s="1">
        <f t="shared" si="325"/>
        <v>0</v>
      </c>
      <c r="AR52" s="1">
        <f t="shared" si="325"/>
        <v>0</v>
      </c>
      <c r="AS52" s="1">
        <f t="shared" si="325"/>
        <v>0</v>
      </c>
      <c r="AT52" s="1">
        <f t="shared" si="325"/>
        <v>0</v>
      </c>
      <c r="AU52" s="1">
        <f t="shared" si="325"/>
        <v>0</v>
      </c>
      <c r="AV52" s="1">
        <f t="shared" si="325"/>
        <v>0</v>
      </c>
      <c r="AW52" s="1">
        <f t="shared" si="325"/>
        <v>0</v>
      </c>
      <c r="AX52" s="1">
        <f t="shared" si="325"/>
        <v>0</v>
      </c>
      <c r="AY52" s="1">
        <f t="shared" si="325"/>
        <v>0</v>
      </c>
      <c r="AZ52" s="1">
        <f t="shared" si="325"/>
        <v>0</v>
      </c>
      <c r="BA52" s="1">
        <f t="shared" si="325"/>
        <v>0</v>
      </c>
      <c r="BB52" s="1">
        <f t="shared" si="325"/>
        <v>0</v>
      </c>
      <c r="BC52" s="1">
        <f t="shared" si="325"/>
        <v>0</v>
      </c>
      <c r="BD52" s="1">
        <f t="shared" si="325"/>
        <v>0</v>
      </c>
      <c r="BE52" s="1">
        <f t="shared" si="325"/>
        <v>0</v>
      </c>
      <c r="BF52" s="1">
        <f t="shared" si="325"/>
        <v>0</v>
      </c>
      <c r="BG52" s="1">
        <f t="shared" si="325"/>
        <v>0</v>
      </c>
      <c r="BH52" s="1">
        <f t="shared" si="325"/>
        <v>0</v>
      </c>
      <c r="BI52" s="1">
        <f t="shared" si="325"/>
        <v>0</v>
      </c>
      <c r="BJ52" s="1">
        <f t="shared" si="325"/>
        <v>0</v>
      </c>
      <c r="BK52" s="1">
        <f t="shared" si="325"/>
        <v>0</v>
      </c>
      <c r="BL52" s="1">
        <f t="shared" si="325"/>
        <v>0</v>
      </c>
      <c r="BM52" s="1">
        <f t="shared" si="325"/>
        <v>0</v>
      </c>
      <c r="BN52" s="1">
        <f t="shared" si="325"/>
        <v>0</v>
      </c>
      <c r="BO52" s="1">
        <f t="shared" si="325"/>
        <v>0</v>
      </c>
      <c r="BP52" s="1">
        <f t="shared" si="325"/>
        <v>0</v>
      </c>
      <c r="BQ52" s="1">
        <f t="shared" si="325"/>
        <v>0</v>
      </c>
      <c r="BR52" s="1">
        <f t="shared" si="326"/>
        <v>0</v>
      </c>
      <c r="BS52" s="1">
        <f t="shared" si="326"/>
        <v>0</v>
      </c>
      <c r="BT52" s="1">
        <f t="shared" si="326"/>
        <v>0</v>
      </c>
      <c r="BU52" s="1">
        <f t="shared" si="326"/>
        <v>0</v>
      </c>
      <c r="BV52" s="1">
        <f t="shared" si="326"/>
        <v>0</v>
      </c>
      <c r="BW52" s="1">
        <f t="shared" si="326"/>
        <v>0</v>
      </c>
      <c r="BX52" s="1">
        <f t="shared" si="326"/>
        <v>0</v>
      </c>
      <c r="BY52" s="1">
        <f t="shared" si="326"/>
        <v>0</v>
      </c>
      <c r="BZ52" s="1">
        <f t="shared" si="326"/>
        <v>0</v>
      </c>
      <c r="CA52" s="1">
        <f t="shared" si="326"/>
        <v>0</v>
      </c>
      <c r="CB52" s="1">
        <f t="shared" si="326"/>
        <v>0</v>
      </c>
      <c r="CC52" s="1">
        <f t="shared" si="326"/>
        <v>0</v>
      </c>
      <c r="CD52" s="1">
        <f t="shared" si="326"/>
        <v>0</v>
      </c>
      <c r="CE52" s="1">
        <f t="shared" si="326"/>
        <v>0</v>
      </c>
      <c r="CF52" s="1">
        <f t="shared" si="326"/>
        <v>0</v>
      </c>
      <c r="CG52" s="1">
        <f t="shared" si="326"/>
        <v>0</v>
      </c>
      <c r="CH52" s="1">
        <f t="shared" si="326"/>
        <v>0</v>
      </c>
      <c r="CI52" s="1">
        <f t="shared" si="326"/>
        <v>0</v>
      </c>
      <c r="CJ52" s="1">
        <f t="shared" si="326"/>
        <v>0</v>
      </c>
      <c r="CK52" s="1">
        <f t="shared" si="326"/>
        <v>0</v>
      </c>
      <c r="CL52" s="1">
        <f t="shared" si="326"/>
        <v>0</v>
      </c>
      <c r="CM52" s="1">
        <f t="shared" si="326"/>
        <v>0</v>
      </c>
      <c r="CN52" s="1">
        <f t="shared" si="326"/>
        <v>0</v>
      </c>
      <c r="CO52" s="1">
        <f t="shared" si="326"/>
        <v>0</v>
      </c>
      <c r="CP52" s="1">
        <f t="shared" si="326"/>
        <v>0</v>
      </c>
      <c r="CQ52" s="1">
        <f t="shared" si="326"/>
        <v>0</v>
      </c>
      <c r="CR52" s="1">
        <f t="shared" si="326"/>
        <v>0</v>
      </c>
      <c r="CS52" s="1">
        <f t="shared" si="326"/>
        <v>0</v>
      </c>
      <c r="CT52" s="1">
        <f t="shared" si="326"/>
        <v>0</v>
      </c>
      <c r="CU52" s="1">
        <f t="shared" si="326"/>
        <v>0</v>
      </c>
      <c r="CV52" s="1">
        <f t="shared" si="326"/>
        <v>0</v>
      </c>
      <c r="CW52" s="1">
        <f t="shared" si="326"/>
        <v>0</v>
      </c>
      <c r="CX52" s="1">
        <f t="shared" si="326"/>
        <v>0</v>
      </c>
      <c r="CY52" s="1">
        <f t="shared" si="326"/>
        <v>0</v>
      </c>
      <c r="CZ52" s="1">
        <f t="shared" si="326"/>
        <v>0</v>
      </c>
      <c r="DA52" s="1">
        <f t="shared" si="326"/>
        <v>0</v>
      </c>
      <c r="DB52" s="1">
        <f t="shared" si="326"/>
        <v>0</v>
      </c>
      <c r="DC52" s="1">
        <f t="shared" si="326"/>
        <v>0</v>
      </c>
      <c r="DD52" s="1">
        <f t="shared" si="326"/>
        <v>0</v>
      </c>
      <c r="DE52" s="1">
        <f t="shared" si="326"/>
        <v>0</v>
      </c>
      <c r="DF52" s="1">
        <f t="shared" si="326"/>
        <v>0</v>
      </c>
      <c r="DG52" s="1">
        <f t="shared" si="326"/>
        <v>0</v>
      </c>
      <c r="DH52" s="1">
        <f t="shared" si="326"/>
        <v>0</v>
      </c>
      <c r="DI52" s="1">
        <f t="shared" si="326"/>
        <v>0</v>
      </c>
      <c r="DJ52" s="1">
        <f t="shared" si="326"/>
        <v>0</v>
      </c>
      <c r="DK52" s="1">
        <f t="shared" si="326"/>
        <v>0</v>
      </c>
      <c r="DL52" s="1">
        <f t="shared" si="326"/>
        <v>0</v>
      </c>
      <c r="DM52" s="1">
        <f t="shared" si="326"/>
        <v>0</v>
      </c>
      <c r="DN52" s="1">
        <f t="shared" si="326"/>
        <v>0</v>
      </c>
      <c r="DO52" s="1">
        <f t="shared" si="326"/>
        <v>0</v>
      </c>
      <c r="DP52" s="1">
        <f t="shared" si="326"/>
        <v>0</v>
      </c>
      <c r="DQ52" s="1">
        <f t="shared" si="326"/>
        <v>0</v>
      </c>
      <c r="DR52" s="1">
        <f t="shared" si="326"/>
        <v>0</v>
      </c>
      <c r="DS52" s="1">
        <f t="shared" si="326"/>
        <v>0</v>
      </c>
      <c r="DT52" s="1">
        <f t="shared" si="326"/>
        <v>0</v>
      </c>
      <c r="DU52" s="1">
        <f t="shared" si="326"/>
        <v>0</v>
      </c>
      <c r="DV52" s="1">
        <f t="shared" si="326"/>
        <v>0</v>
      </c>
    </row>
    <row r="53" spans="1:126" ht="16.5" thickBot="1" x14ac:dyDescent="0.3">
      <c r="A53" s="159" t="s">
        <v>258</v>
      </c>
      <c r="B53" s="160"/>
      <c r="C53" s="161"/>
      <c r="D53" s="35"/>
      <c r="E53" s="35">
        <f t="shared" si="37"/>
        <v>56</v>
      </c>
      <c r="F53" s="1">
        <f t="shared" ref="F53:F75" si="328">+IF($A53="","",$B53+IF(MONTH($B$8)-MONTH($B$7)+$E$14=E$14,$C53,0))</f>
        <v>0</v>
      </c>
      <c r="G53" s="1">
        <f t="shared" ref="G53:AL53" si="329">+(IF($A53="","",IF($D53&gt;MONTH(G$16)-MONTH(InicioFuncion)+12*(YEAR(G$16)-YEAR(InicioFuncion))+1,0,IF($E53&lt;=(MONTH(G$16)-MONTH(InicioFuncion)+12*(YEAR(G$16)-YEAR(InicioFuncion)))-$D53,0,IF(G$15&gt;$B$9,0,IF((YEAR($B$8)-YEAR($B$7))*12+(MONTH($B$8)-MONTH($B$7))+$E$14&lt;=F$14,$C53))))*HLOOKUP(YEAR(G$16),$E$3:$O$5,3,0)))</f>
        <v>0</v>
      </c>
      <c r="H53" s="1">
        <f t="shared" si="329"/>
        <v>0</v>
      </c>
      <c r="I53" s="1">
        <f t="shared" si="329"/>
        <v>0</v>
      </c>
      <c r="J53" s="1">
        <f t="shared" si="329"/>
        <v>0</v>
      </c>
      <c r="K53" s="1">
        <f t="shared" si="329"/>
        <v>0</v>
      </c>
      <c r="L53" s="1">
        <f t="shared" si="329"/>
        <v>0</v>
      </c>
      <c r="M53" s="1">
        <f t="shared" si="329"/>
        <v>0</v>
      </c>
      <c r="N53" s="1">
        <f t="shared" si="329"/>
        <v>0</v>
      </c>
      <c r="O53" s="1">
        <f t="shared" si="329"/>
        <v>0</v>
      </c>
      <c r="P53" s="1">
        <f t="shared" si="329"/>
        <v>0</v>
      </c>
      <c r="Q53" s="1">
        <f t="shared" si="329"/>
        <v>0</v>
      </c>
      <c r="R53" s="1">
        <f t="shared" si="329"/>
        <v>0</v>
      </c>
      <c r="S53" s="1">
        <f t="shared" si="329"/>
        <v>0</v>
      </c>
      <c r="T53" s="1">
        <f t="shared" si="329"/>
        <v>0</v>
      </c>
      <c r="U53" s="1">
        <f t="shared" si="329"/>
        <v>0</v>
      </c>
      <c r="V53" s="1">
        <f t="shared" si="329"/>
        <v>0</v>
      </c>
      <c r="W53" s="1">
        <f t="shared" si="329"/>
        <v>0</v>
      </c>
      <c r="X53" s="1">
        <f t="shared" si="329"/>
        <v>0</v>
      </c>
      <c r="Y53" s="1">
        <f t="shared" si="329"/>
        <v>0</v>
      </c>
      <c r="Z53" s="1">
        <f t="shared" si="329"/>
        <v>0</v>
      </c>
      <c r="AA53" s="1">
        <f t="shared" si="329"/>
        <v>0</v>
      </c>
      <c r="AB53" s="1">
        <f t="shared" si="329"/>
        <v>0</v>
      </c>
      <c r="AC53" s="1">
        <f t="shared" si="329"/>
        <v>0</v>
      </c>
      <c r="AD53" s="1">
        <f t="shared" si="329"/>
        <v>0</v>
      </c>
      <c r="AE53" s="1">
        <f t="shared" si="329"/>
        <v>0</v>
      </c>
      <c r="AF53" s="1">
        <f t="shared" si="329"/>
        <v>0</v>
      </c>
      <c r="AG53" s="1">
        <f t="shared" si="329"/>
        <v>0</v>
      </c>
      <c r="AH53" s="1">
        <f t="shared" si="329"/>
        <v>0</v>
      </c>
      <c r="AI53" s="1">
        <f t="shared" si="329"/>
        <v>0</v>
      </c>
      <c r="AJ53" s="1">
        <f t="shared" si="329"/>
        <v>0</v>
      </c>
      <c r="AK53" s="1">
        <f t="shared" si="329"/>
        <v>0</v>
      </c>
      <c r="AL53" s="1">
        <f t="shared" si="329"/>
        <v>0</v>
      </c>
      <c r="AM53" s="1">
        <f t="shared" ref="AM53:BR53" si="330">+(IF($A53="","",IF($D53&gt;MONTH(AM$16)-MONTH(InicioFuncion)+12*(YEAR(AM$16)-YEAR(InicioFuncion))+1,0,IF($E53&lt;=(MONTH(AM$16)-MONTH(InicioFuncion)+12*(YEAR(AM$16)-YEAR(InicioFuncion)))-$D53,0,IF(AM$15&gt;$B$9,0,IF((YEAR($B$8)-YEAR($B$7))*12+(MONTH($B$8)-MONTH($B$7))+$E$14&lt;=AL$14,$C53))))*HLOOKUP(YEAR(AM$16),$E$3:$O$5,3,0)))</f>
        <v>0</v>
      </c>
      <c r="AN53" s="1">
        <f t="shared" si="330"/>
        <v>0</v>
      </c>
      <c r="AO53" s="1">
        <f t="shared" si="330"/>
        <v>0</v>
      </c>
      <c r="AP53" s="1">
        <f t="shared" si="330"/>
        <v>0</v>
      </c>
      <c r="AQ53" s="1">
        <f t="shared" si="330"/>
        <v>0</v>
      </c>
      <c r="AR53" s="1">
        <f t="shared" si="330"/>
        <v>0</v>
      </c>
      <c r="AS53" s="1">
        <f t="shared" si="330"/>
        <v>0</v>
      </c>
      <c r="AT53" s="1">
        <f t="shared" si="330"/>
        <v>0</v>
      </c>
      <c r="AU53" s="1">
        <f t="shared" si="330"/>
        <v>0</v>
      </c>
      <c r="AV53" s="1">
        <f t="shared" si="330"/>
        <v>0</v>
      </c>
      <c r="AW53" s="1">
        <f t="shared" si="330"/>
        <v>0</v>
      </c>
      <c r="AX53" s="1">
        <f t="shared" si="330"/>
        <v>0</v>
      </c>
      <c r="AY53" s="1">
        <f t="shared" si="330"/>
        <v>0</v>
      </c>
      <c r="AZ53" s="1">
        <f t="shared" si="330"/>
        <v>0</v>
      </c>
      <c r="BA53" s="1">
        <f t="shared" si="330"/>
        <v>0</v>
      </c>
      <c r="BB53" s="1">
        <f t="shared" si="330"/>
        <v>0</v>
      </c>
      <c r="BC53" s="1">
        <f t="shared" si="330"/>
        <v>0</v>
      </c>
      <c r="BD53" s="1">
        <f t="shared" si="330"/>
        <v>0</v>
      </c>
      <c r="BE53" s="1">
        <f t="shared" si="330"/>
        <v>0</v>
      </c>
      <c r="BF53" s="1">
        <f t="shared" si="330"/>
        <v>0</v>
      </c>
      <c r="BG53" s="1">
        <f t="shared" si="330"/>
        <v>0</v>
      </c>
      <c r="BH53" s="1">
        <f t="shared" si="330"/>
        <v>0</v>
      </c>
      <c r="BI53" s="1">
        <f t="shared" si="330"/>
        <v>0</v>
      </c>
      <c r="BJ53" s="1">
        <f t="shared" si="330"/>
        <v>0</v>
      </c>
      <c r="BK53" s="1">
        <f t="shared" si="330"/>
        <v>0</v>
      </c>
      <c r="BL53" s="1">
        <f t="shared" si="330"/>
        <v>0</v>
      </c>
      <c r="BM53" s="1">
        <f t="shared" si="330"/>
        <v>0</v>
      </c>
      <c r="BN53" s="1">
        <f t="shared" si="330"/>
        <v>0</v>
      </c>
      <c r="BO53" s="1">
        <f t="shared" si="330"/>
        <v>0</v>
      </c>
      <c r="BP53" s="1">
        <f t="shared" si="330"/>
        <v>0</v>
      </c>
      <c r="BQ53" s="1">
        <f t="shared" si="330"/>
        <v>0</v>
      </c>
      <c r="BR53" s="1">
        <f t="shared" si="330"/>
        <v>0</v>
      </c>
      <c r="BS53" s="1">
        <f t="shared" ref="BS53:CX53" si="331">+(IF($A53="","",IF($D53&gt;MONTH(BS$16)-MONTH(InicioFuncion)+12*(YEAR(BS$16)-YEAR(InicioFuncion))+1,0,IF($E53&lt;=(MONTH(BS$16)-MONTH(InicioFuncion)+12*(YEAR(BS$16)-YEAR(InicioFuncion)))-$D53,0,IF(BS$15&gt;$B$9,0,IF((YEAR($B$8)-YEAR($B$7))*12+(MONTH($B$8)-MONTH($B$7))+$E$14&lt;=BR$14,$C53))))*HLOOKUP(YEAR(BS$16),$E$3:$O$5,3,0)))</f>
        <v>0</v>
      </c>
      <c r="BT53" s="1">
        <f t="shared" si="331"/>
        <v>0</v>
      </c>
      <c r="BU53" s="1">
        <f t="shared" si="331"/>
        <v>0</v>
      </c>
      <c r="BV53" s="1">
        <f t="shared" si="331"/>
        <v>0</v>
      </c>
      <c r="BW53" s="1">
        <f t="shared" si="331"/>
        <v>0</v>
      </c>
      <c r="BX53" s="1">
        <f t="shared" si="331"/>
        <v>0</v>
      </c>
      <c r="BY53" s="1">
        <f t="shared" si="331"/>
        <v>0</v>
      </c>
      <c r="BZ53" s="1">
        <f t="shared" si="331"/>
        <v>0</v>
      </c>
      <c r="CA53" s="1">
        <f t="shared" si="331"/>
        <v>0</v>
      </c>
      <c r="CB53" s="1">
        <f t="shared" si="331"/>
        <v>0</v>
      </c>
      <c r="CC53" s="1">
        <f t="shared" si="331"/>
        <v>0</v>
      </c>
      <c r="CD53" s="1">
        <f t="shared" si="331"/>
        <v>0</v>
      </c>
      <c r="CE53" s="1">
        <f t="shared" si="331"/>
        <v>0</v>
      </c>
      <c r="CF53" s="1">
        <f t="shared" si="331"/>
        <v>0</v>
      </c>
      <c r="CG53" s="1">
        <f t="shared" si="331"/>
        <v>0</v>
      </c>
      <c r="CH53" s="1">
        <f t="shared" si="331"/>
        <v>0</v>
      </c>
      <c r="CI53" s="1">
        <f t="shared" si="331"/>
        <v>0</v>
      </c>
      <c r="CJ53" s="1">
        <f t="shared" si="331"/>
        <v>0</v>
      </c>
      <c r="CK53" s="1">
        <f t="shared" si="331"/>
        <v>0</v>
      </c>
      <c r="CL53" s="1">
        <f t="shared" si="331"/>
        <v>0</v>
      </c>
      <c r="CM53" s="1">
        <f t="shared" si="331"/>
        <v>0</v>
      </c>
      <c r="CN53" s="1">
        <f t="shared" si="331"/>
        <v>0</v>
      </c>
      <c r="CO53" s="1">
        <f t="shared" si="331"/>
        <v>0</v>
      </c>
      <c r="CP53" s="1">
        <f t="shared" si="331"/>
        <v>0</v>
      </c>
      <c r="CQ53" s="1">
        <f t="shared" si="331"/>
        <v>0</v>
      </c>
      <c r="CR53" s="1">
        <f t="shared" si="331"/>
        <v>0</v>
      </c>
      <c r="CS53" s="1">
        <f t="shared" si="331"/>
        <v>0</v>
      </c>
      <c r="CT53" s="1">
        <f t="shared" si="331"/>
        <v>0</v>
      </c>
      <c r="CU53" s="1">
        <f t="shared" si="331"/>
        <v>0</v>
      </c>
      <c r="CV53" s="1">
        <f t="shared" si="331"/>
        <v>0</v>
      </c>
      <c r="CW53" s="1">
        <f t="shared" si="331"/>
        <v>0</v>
      </c>
      <c r="CX53" s="1">
        <f t="shared" si="331"/>
        <v>0</v>
      </c>
      <c r="CY53" s="1">
        <f t="shared" ref="CY53:DV53" si="332">+(IF($A53="","",IF($D53&gt;MONTH(CY$16)-MONTH(InicioFuncion)+12*(YEAR(CY$16)-YEAR(InicioFuncion))+1,0,IF($E53&lt;=(MONTH(CY$16)-MONTH(InicioFuncion)+12*(YEAR(CY$16)-YEAR(InicioFuncion)))-$D53,0,IF(CY$15&gt;$B$9,0,IF((YEAR($B$8)-YEAR($B$7))*12+(MONTH($B$8)-MONTH($B$7))+$E$14&lt;=CX$14,$C53))))*HLOOKUP(YEAR(CY$16),$E$3:$O$5,3,0)))</f>
        <v>0</v>
      </c>
      <c r="CZ53" s="1">
        <f t="shared" si="332"/>
        <v>0</v>
      </c>
      <c r="DA53" s="1">
        <f t="shared" si="332"/>
        <v>0</v>
      </c>
      <c r="DB53" s="1">
        <f t="shared" si="332"/>
        <v>0</v>
      </c>
      <c r="DC53" s="1">
        <f t="shared" si="332"/>
        <v>0</v>
      </c>
      <c r="DD53" s="1">
        <f t="shared" si="332"/>
        <v>0</v>
      </c>
      <c r="DE53" s="1">
        <f t="shared" si="332"/>
        <v>0</v>
      </c>
      <c r="DF53" s="1">
        <f t="shared" si="332"/>
        <v>0</v>
      </c>
      <c r="DG53" s="1">
        <f t="shared" si="332"/>
        <v>0</v>
      </c>
      <c r="DH53" s="1">
        <f t="shared" si="332"/>
        <v>0</v>
      </c>
      <c r="DI53" s="1">
        <f t="shared" si="332"/>
        <v>0</v>
      </c>
      <c r="DJ53" s="1">
        <f t="shared" si="332"/>
        <v>0</v>
      </c>
      <c r="DK53" s="1">
        <f t="shared" si="332"/>
        <v>0</v>
      </c>
      <c r="DL53" s="1">
        <f t="shared" si="332"/>
        <v>0</v>
      </c>
      <c r="DM53" s="1">
        <f t="shared" si="332"/>
        <v>0</v>
      </c>
      <c r="DN53" s="1">
        <f t="shared" si="332"/>
        <v>0</v>
      </c>
      <c r="DO53" s="1">
        <f t="shared" si="332"/>
        <v>0</v>
      </c>
      <c r="DP53" s="1">
        <f t="shared" si="332"/>
        <v>0</v>
      </c>
      <c r="DQ53" s="1">
        <f t="shared" si="332"/>
        <v>0</v>
      </c>
      <c r="DR53" s="1">
        <f t="shared" si="332"/>
        <v>0</v>
      </c>
      <c r="DS53" s="1">
        <f t="shared" si="332"/>
        <v>0</v>
      </c>
      <c r="DT53" s="1">
        <f t="shared" si="332"/>
        <v>0</v>
      </c>
      <c r="DU53" s="1">
        <f t="shared" si="332"/>
        <v>0</v>
      </c>
      <c r="DV53" s="1">
        <f t="shared" si="332"/>
        <v>0</v>
      </c>
    </row>
    <row r="54" spans="1:126" x14ac:dyDescent="0.25">
      <c r="A54" s="26" t="s">
        <v>59</v>
      </c>
      <c r="B54" s="26"/>
      <c r="C54" s="36">
        <f>+IF('Parametros tecnológicos'!C22="S",SUMIFS(ValoresMercado,Conceptos,A54),0)</f>
        <v>1571182.7679744002</v>
      </c>
      <c r="D54" s="35"/>
      <c r="E54" s="35">
        <f t="shared" si="37"/>
        <v>56</v>
      </c>
      <c r="F54" s="1">
        <f t="shared" si="328"/>
        <v>0</v>
      </c>
      <c r="G54" s="1">
        <f t="shared" ref="G54:AL54" si="333">+(IF($A54="","",IF($D54&gt;MONTH(G$16)-MONTH(InicioFuncion)+12*(YEAR(G$16)-YEAR(InicioFuncion))+1,0,IF($E54&lt;=(MONTH(G$16)-MONTH(InicioFuncion)+12*(YEAR(G$16)-YEAR(InicioFuncion)))-$D54+IF($D54&lt;&gt;"",1,0),0,IF(G$15&gt;$B$9,0,IF((YEAR($B$8)-YEAR($B$7))*12+(MONTH($B$8)-MONTH($B$7))+$E$14&lt;=F$14,$C54))))*HLOOKUP(YEAR(G$16),$E$3:$O$5,3,0)))</f>
        <v>0</v>
      </c>
      <c r="H54" s="1">
        <f t="shared" si="333"/>
        <v>1571182.7679744002</v>
      </c>
      <c r="I54" s="1">
        <f t="shared" si="333"/>
        <v>1571182.7679744002</v>
      </c>
      <c r="J54" s="1">
        <f t="shared" si="333"/>
        <v>1571182.7679744002</v>
      </c>
      <c r="K54" s="1">
        <f t="shared" si="333"/>
        <v>1571182.7679744002</v>
      </c>
      <c r="L54" s="1">
        <f t="shared" si="333"/>
        <v>1571182.7679744002</v>
      </c>
      <c r="M54" s="1">
        <f t="shared" si="333"/>
        <v>1571182.7679744002</v>
      </c>
      <c r="N54" s="1">
        <f t="shared" si="333"/>
        <v>1618318.2510136322</v>
      </c>
      <c r="O54" s="1">
        <f t="shared" si="333"/>
        <v>1618318.2510136322</v>
      </c>
      <c r="P54" s="1">
        <f t="shared" si="333"/>
        <v>1618318.2510136322</v>
      </c>
      <c r="Q54" s="1">
        <f t="shared" si="333"/>
        <v>1618318.2510136322</v>
      </c>
      <c r="R54" s="1">
        <f t="shared" si="333"/>
        <v>1618318.2510136322</v>
      </c>
      <c r="S54" s="1">
        <f t="shared" si="333"/>
        <v>1618318.2510136322</v>
      </c>
      <c r="T54" s="1">
        <f t="shared" si="333"/>
        <v>1618318.2510136322</v>
      </c>
      <c r="U54" s="1">
        <f t="shared" si="333"/>
        <v>1618318.2510136322</v>
      </c>
      <c r="V54" s="1">
        <f t="shared" si="333"/>
        <v>1618318.2510136322</v>
      </c>
      <c r="W54" s="1">
        <f t="shared" si="333"/>
        <v>1618318.2510136322</v>
      </c>
      <c r="X54" s="1">
        <f t="shared" si="333"/>
        <v>1618318.2510136322</v>
      </c>
      <c r="Y54" s="1">
        <f t="shared" si="333"/>
        <v>1618318.2510136322</v>
      </c>
      <c r="Z54" s="1">
        <f t="shared" si="333"/>
        <v>1666867.7985440411</v>
      </c>
      <c r="AA54" s="1">
        <f t="shared" si="333"/>
        <v>1666867.7985440411</v>
      </c>
      <c r="AB54" s="1">
        <f t="shared" si="333"/>
        <v>1666867.7985440411</v>
      </c>
      <c r="AC54" s="1">
        <f t="shared" si="333"/>
        <v>1666867.7985440411</v>
      </c>
      <c r="AD54" s="1">
        <f t="shared" si="333"/>
        <v>1666867.7985440411</v>
      </c>
      <c r="AE54" s="1">
        <f t="shared" si="333"/>
        <v>1666867.7985440411</v>
      </c>
      <c r="AF54" s="1">
        <f t="shared" si="333"/>
        <v>1666867.7985440411</v>
      </c>
      <c r="AG54" s="1">
        <f t="shared" si="333"/>
        <v>1666867.7985440411</v>
      </c>
      <c r="AH54" s="1">
        <f t="shared" si="333"/>
        <v>1666867.7985440411</v>
      </c>
      <c r="AI54" s="1">
        <f t="shared" si="333"/>
        <v>1666867.7985440411</v>
      </c>
      <c r="AJ54" s="1">
        <f t="shared" si="333"/>
        <v>1666867.7985440411</v>
      </c>
      <c r="AK54" s="1">
        <f t="shared" si="333"/>
        <v>1666867.7985440411</v>
      </c>
      <c r="AL54" s="1">
        <f t="shared" si="333"/>
        <v>1716873.8325003623</v>
      </c>
      <c r="AM54" s="1">
        <f t="shared" ref="AM54:BR54" si="334">+(IF($A54="","",IF($D54&gt;MONTH(AM$16)-MONTH(InicioFuncion)+12*(YEAR(AM$16)-YEAR(InicioFuncion))+1,0,IF($E54&lt;=(MONTH(AM$16)-MONTH(InicioFuncion)+12*(YEAR(AM$16)-YEAR(InicioFuncion)))-$D54+IF($D54&lt;&gt;"",1,0),0,IF(AM$15&gt;$B$9,0,IF((YEAR($B$8)-YEAR($B$7))*12+(MONTH($B$8)-MONTH($B$7))+$E$14&lt;=AL$14,$C54))))*HLOOKUP(YEAR(AM$16),$E$3:$O$5,3,0)))</f>
        <v>1716873.8325003623</v>
      </c>
      <c r="AN54" s="1">
        <f t="shared" si="334"/>
        <v>1716873.8325003623</v>
      </c>
      <c r="AO54" s="1">
        <f t="shared" si="334"/>
        <v>1716873.8325003623</v>
      </c>
      <c r="AP54" s="1">
        <f t="shared" si="334"/>
        <v>1716873.8325003623</v>
      </c>
      <c r="AQ54" s="1">
        <f t="shared" si="334"/>
        <v>1716873.8325003623</v>
      </c>
      <c r="AR54" s="1">
        <f t="shared" si="334"/>
        <v>1716873.8325003623</v>
      </c>
      <c r="AS54" s="1">
        <f t="shared" si="334"/>
        <v>1716873.8325003623</v>
      </c>
      <c r="AT54" s="1">
        <f t="shared" si="334"/>
        <v>1716873.8325003623</v>
      </c>
      <c r="AU54" s="1">
        <f t="shared" si="334"/>
        <v>1716873.8325003623</v>
      </c>
      <c r="AV54" s="1">
        <f t="shared" si="334"/>
        <v>1716873.8325003623</v>
      </c>
      <c r="AW54" s="1">
        <f t="shared" si="334"/>
        <v>1716873.8325003623</v>
      </c>
      <c r="AX54" s="1">
        <f t="shared" si="334"/>
        <v>1768380.0474753734</v>
      </c>
      <c r="AY54" s="1">
        <f t="shared" si="334"/>
        <v>1768380.0474753734</v>
      </c>
      <c r="AZ54" s="1">
        <f t="shared" si="334"/>
        <v>1768380.0474753734</v>
      </c>
      <c r="BA54" s="1">
        <f t="shared" si="334"/>
        <v>1768380.0474753734</v>
      </c>
      <c r="BB54" s="1">
        <f t="shared" si="334"/>
        <v>1768380.0474753734</v>
      </c>
      <c r="BC54" s="1">
        <f t="shared" si="334"/>
        <v>1768380.0474753734</v>
      </c>
      <c r="BD54" s="1">
        <f t="shared" si="334"/>
        <v>1768380.0474753734</v>
      </c>
      <c r="BE54" s="1">
        <f t="shared" si="334"/>
        <v>1768380.0474753734</v>
      </c>
      <c r="BF54" s="1">
        <f t="shared" si="334"/>
        <v>1768380.0474753734</v>
      </c>
      <c r="BG54" s="1">
        <f t="shared" si="334"/>
        <v>1768380.0474753734</v>
      </c>
      <c r="BH54" s="1">
        <f t="shared" si="334"/>
        <v>1768380.0474753734</v>
      </c>
      <c r="BI54" s="1">
        <f t="shared" si="334"/>
        <v>1768380.0474753734</v>
      </c>
      <c r="BJ54" s="1">
        <f t="shared" si="334"/>
        <v>1821431.4488996346</v>
      </c>
      <c r="BK54" s="1">
        <f t="shared" si="334"/>
        <v>0</v>
      </c>
      <c r="BL54" s="1">
        <f t="shared" si="334"/>
        <v>0</v>
      </c>
      <c r="BM54" s="1">
        <f t="shared" si="334"/>
        <v>0</v>
      </c>
      <c r="BN54" s="1">
        <f t="shared" si="334"/>
        <v>0</v>
      </c>
      <c r="BO54" s="1">
        <f t="shared" si="334"/>
        <v>0</v>
      </c>
      <c r="BP54" s="1">
        <f t="shared" si="334"/>
        <v>0</v>
      </c>
      <c r="BQ54" s="1">
        <f t="shared" si="334"/>
        <v>0</v>
      </c>
      <c r="BR54" s="1">
        <f t="shared" si="334"/>
        <v>0</v>
      </c>
      <c r="BS54" s="1">
        <f t="shared" ref="BS54:CX54" si="335">+(IF($A54="","",IF($D54&gt;MONTH(BS$16)-MONTH(InicioFuncion)+12*(YEAR(BS$16)-YEAR(InicioFuncion))+1,0,IF($E54&lt;=(MONTH(BS$16)-MONTH(InicioFuncion)+12*(YEAR(BS$16)-YEAR(InicioFuncion)))-$D54+IF($D54&lt;&gt;"",1,0),0,IF(BS$15&gt;$B$9,0,IF((YEAR($B$8)-YEAR($B$7))*12+(MONTH($B$8)-MONTH($B$7))+$E$14&lt;=BR$14,$C54))))*HLOOKUP(YEAR(BS$16),$E$3:$O$5,3,0)))</f>
        <v>0</v>
      </c>
      <c r="BT54" s="1">
        <f t="shared" si="335"/>
        <v>0</v>
      </c>
      <c r="BU54" s="1">
        <f t="shared" si="335"/>
        <v>0</v>
      </c>
      <c r="BV54" s="1">
        <f t="shared" si="335"/>
        <v>0</v>
      </c>
      <c r="BW54" s="1">
        <f t="shared" si="335"/>
        <v>0</v>
      </c>
      <c r="BX54" s="1">
        <f t="shared" si="335"/>
        <v>0</v>
      </c>
      <c r="BY54" s="1">
        <f t="shared" si="335"/>
        <v>0</v>
      </c>
      <c r="BZ54" s="1">
        <f t="shared" si="335"/>
        <v>0</v>
      </c>
      <c r="CA54" s="1">
        <f t="shared" si="335"/>
        <v>0</v>
      </c>
      <c r="CB54" s="1">
        <f t="shared" si="335"/>
        <v>0</v>
      </c>
      <c r="CC54" s="1">
        <f t="shared" si="335"/>
        <v>0</v>
      </c>
      <c r="CD54" s="1">
        <f t="shared" si="335"/>
        <v>0</v>
      </c>
      <c r="CE54" s="1">
        <f t="shared" si="335"/>
        <v>0</v>
      </c>
      <c r="CF54" s="1">
        <f t="shared" si="335"/>
        <v>0</v>
      </c>
      <c r="CG54" s="1">
        <f t="shared" si="335"/>
        <v>0</v>
      </c>
      <c r="CH54" s="1">
        <f t="shared" si="335"/>
        <v>0</v>
      </c>
      <c r="CI54" s="1">
        <f t="shared" si="335"/>
        <v>0</v>
      </c>
      <c r="CJ54" s="1">
        <f t="shared" si="335"/>
        <v>0</v>
      </c>
      <c r="CK54" s="1">
        <f t="shared" si="335"/>
        <v>0</v>
      </c>
      <c r="CL54" s="1">
        <f t="shared" si="335"/>
        <v>0</v>
      </c>
      <c r="CM54" s="1">
        <f t="shared" si="335"/>
        <v>0</v>
      </c>
      <c r="CN54" s="1">
        <f t="shared" si="335"/>
        <v>0</v>
      </c>
      <c r="CO54" s="1">
        <f t="shared" si="335"/>
        <v>0</v>
      </c>
      <c r="CP54" s="1">
        <f t="shared" si="335"/>
        <v>0</v>
      </c>
      <c r="CQ54" s="1">
        <f t="shared" si="335"/>
        <v>0</v>
      </c>
      <c r="CR54" s="1">
        <f t="shared" si="335"/>
        <v>0</v>
      </c>
      <c r="CS54" s="1">
        <f t="shared" si="335"/>
        <v>0</v>
      </c>
      <c r="CT54" s="1">
        <f t="shared" si="335"/>
        <v>0</v>
      </c>
      <c r="CU54" s="1">
        <f t="shared" si="335"/>
        <v>0</v>
      </c>
      <c r="CV54" s="1">
        <f t="shared" si="335"/>
        <v>0</v>
      </c>
      <c r="CW54" s="1">
        <f t="shared" si="335"/>
        <v>0</v>
      </c>
      <c r="CX54" s="1">
        <f t="shared" si="335"/>
        <v>0</v>
      </c>
      <c r="CY54" s="1">
        <f t="shared" ref="CY54:DV54" si="336">+(IF($A54="","",IF($D54&gt;MONTH(CY$16)-MONTH(InicioFuncion)+12*(YEAR(CY$16)-YEAR(InicioFuncion))+1,0,IF($E54&lt;=(MONTH(CY$16)-MONTH(InicioFuncion)+12*(YEAR(CY$16)-YEAR(InicioFuncion)))-$D54+IF($D54&lt;&gt;"",1,0),0,IF(CY$15&gt;$B$9,0,IF((YEAR($B$8)-YEAR($B$7))*12+(MONTH($B$8)-MONTH($B$7))+$E$14&lt;=CX$14,$C54))))*HLOOKUP(YEAR(CY$16),$E$3:$O$5,3,0)))</f>
        <v>0</v>
      </c>
      <c r="CZ54" s="1">
        <f t="shared" si="336"/>
        <v>0</v>
      </c>
      <c r="DA54" s="1">
        <f t="shared" si="336"/>
        <v>0</v>
      </c>
      <c r="DB54" s="1">
        <f t="shared" si="336"/>
        <v>0</v>
      </c>
      <c r="DC54" s="1">
        <f t="shared" si="336"/>
        <v>0</v>
      </c>
      <c r="DD54" s="1">
        <f t="shared" si="336"/>
        <v>0</v>
      </c>
      <c r="DE54" s="1">
        <f t="shared" si="336"/>
        <v>0</v>
      </c>
      <c r="DF54" s="1">
        <f t="shared" si="336"/>
        <v>0</v>
      </c>
      <c r="DG54" s="1">
        <f t="shared" si="336"/>
        <v>0</v>
      </c>
      <c r="DH54" s="1">
        <f t="shared" si="336"/>
        <v>0</v>
      </c>
      <c r="DI54" s="1">
        <f t="shared" si="336"/>
        <v>0</v>
      </c>
      <c r="DJ54" s="1">
        <f t="shared" si="336"/>
        <v>0</v>
      </c>
      <c r="DK54" s="1">
        <f t="shared" si="336"/>
        <v>0</v>
      </c>
      <c r="DL54" s="1">
        <f t="shared" si="336"/>
        <v>0</v>
      </c>
      <c r="DM54" s="1">
        <f t="shared" si="336"/>
        <v>0</v>
      </c>
      <c r="DN54" s="1">
        <f t="shared" si="336"/>
        <v>0</v>
      </c>
      <c r="DO54" s="1">
        <f t="shared" si="336"/>
        <v>0</v>
      </c>
      <c r="DP54" s="1">
        <f t="shared" si="336"/>
        <v>0</v>
      </c>
      <c r="DQ54" s="1">
        <f t="shared" si="336"/>
        <v>0</v>
      </c>
      <c r="DR54" s="1">
        <f t="shared" si="336"/>
        <v>0</v>
      </c>
      <c r="DS54" s="1">
        <f t="shared" si="336"/>
        <v>0</v>
      </c>
      <c r="DT54" s="1">
        <f t="shared" si="336"/>
        <v>0</v>
      </c>
      <c r="DU54" s="1">
        <f t="shared" si="336"/>
        <v>0</v>
      </c>
      <c r="DV54" s="1">
        <f t="shared" si="336"/>
        <v>0</v>
      </c>
    </row>
    <row r="55" spans="1:126" x14ac:dyDescent="0.25">
      <c r="A55" s="29" t="s">
        <v>118</v>
      </c>
      <c r="B55" s="26"/>
      <c r="C55" s="36">
        <f>+IF('Parametros tecnológicos'!C34="S",0,SUMIFS(ValoresMercado,Conceptos,A55)/3)</f>
        <v>2905000</v>
      </c>
      <c r="D55" s="35"/>
      <c r="E55" s="35">
        <v>3</v>
      </c>
      <c r="F55" s="1">
        <f t="shared" si="328"/>
        <v>0</v>
      </c>
      <c r="G55" s="1">
        <f t="shared" ref="G55:AL55" si="337">+(IF($A55="","",IF($D55&gt;MONTH(G$16)-MONTH(InicioFuncion)+12*(YEAR(G$16)-YEAR(InicioFuncion))+1,0,IF($E55&lt;=(MONTH(G$16)-MONTH(InicioFuncion)+12*(YEAR(G$16)-YEAR(InicioFuncion)))-$D55+IF($D55&lt;&gt;"",1,0),0,IF(G$15&gt;$B$9,0,IF((YEAR($B$8)-YEAR($B$7))*12+(MONTH($B$8)-MONTH($B$7))+$E$14&lt;=F$14,$C55))))*HLOOKUP(YEAR(G$16),$E$3:$O$5,3,0)))</f>
        <v>0</v>
      </c>
      <c r="H55" s="1">
        <f t="shared" si="337"/>
        <v>2905000</v>
      </c>
      <c r="I55" s="1">
        <f t="shared" si="337"/>
        <v>2905000</v>
      </c>
      <c r="J55" s="1">
        <f t="shared" si="337"/>
        <v>2905000</v>
      </c>
      <c r="K55" s="1">
        <f t="shared" si="337"/>
        <v>0</v>
      </c>
      <c r="L55" s="1">
        <f t="shared" si="337"/>
        <v>0</v>
      </c>
      <c r="M55" s="1">
        <f t="shared" si="337"/>
        <v>0</v>
      </c>
      <c r="N55" s="1">
        <f t="shared" si="337"/>
        <v>0</v>
      </c>
      <c r="O55" s="1">
        <f t="shared" si="337"/>
        <v>0</v>
      </c>
      <c r="P55" s="1">
        <f t="shared" si="337"/>
        <v>0</v>
      </c>
      <c r="Q55" s="1">
        <f t="shared" si="337"/>
        <v>0</v>
      </c>
      <c r="R55" s="1">
        <f t="shared" si="337"/>
        <v>0</v>
      </c>
      <c r="S55" s="1">
        <f t="shared" si="337"/>
        <v>0</v>
      </c>
      <c r="T55" s="1">
        <f t="shared" si="337"/>
        <v>0</v>
      </c>
      <c r="U55" s="1">
        <f t="shared" si="337"/>
        <v>0</v>
      </c>
      <c r="V55" s="1">
        <f t="shared" si="337"/>
        <v>0</v>
      </c>
      <c r="W55" s="1">
        <f t="shared" si="337"/>
        <v>0</v>
      </c>
      <c r="X55" s="1">
        <f t="shared" si="337"/>
        <v>0</v>
      </c>
      <c r="Y55" s="1">
        <f t="shared" si="337"/>
        <v>0</v>
      </c>
      <c r="Z55" s="1">
        <f t="shared" si="337"/>
        <v>0</v>
      </c>
      <c r="AA55" s="1">
        <f t="shared" si="337"/>
        <v>0</v>
      </c>
      <c r="AB55" s="1">
        <f t="shared" si="337"/>
        <v>0</v>
      </c>
      <c r="AC55" s="1">
        <f t="shared" si="337"/>
        <v>0</v>
      </c>
      <c r="AD55" s="1">
        <f t="shared" si="337"/>
        <v>0</v>
      </c>
      <c r="AE55" s="1">
        <f t="shared" si="337"/>
        <v>0</v>
      </c>
      <c r="AF55" s="1">
        <f t="shared" si="337"/>
        <v>0</v>
      </c>
      <c r="AG55" s="1">
        <f t="shared" si="337"/>
        <v>0</v>
      </c>
      <c r="AH55" s="1">
        <f t="shared" si="337"/>
        <v>0</v>
      </c>
      <c r="AI55" s="1">
        <f t="shared" si="337"/>
        <v>0</v>
      </c>
      <c r="AJ55" s="1">
        <f t="shared" si="337"/>
        <v>0</v>
      </c>
      <c r="AK55" s="1">
        <f t="shared" si="337"/>
        <v>0</v>
      </c>
      <c r="AL55" s="1">
        <f t="shared" si="337"/>
        <v>0</v>
      </c>
      <c r="AM55" s="1">
        <f t="shared" ref="AM55:BR55" si="338">+(IF($A55="","",IF($D55&gt;MONTH(AM$16)-MONTH(InicioFuncion)+12*(YEAR(AM$16)-YEAR(InicioFuncion))+1,0,IF($E55&lt;=(MONTH(AM$16)-MONTH(InicioFuncion)+12*(YEAR(AM$16)-YEAR(InicioFuncion)))-$D55+IF($D55&lt;&gt;"",1,0),0,IF(AM$15&gt;$B$9,0,IF((YEAR($B$8)-YEAR($B$7))*12+(MONTH($B$8)-MONTH($B$7))+$E$14&lt;=AL$14,$C55))))*HLOOKUP(YEAR(AM$16),$E$3:$O$5,3,0)))</f>
        <v>0</v>
      </c>
      <c r="AN55" s="1">
        <f t="shared" si="338"/>
        <v>0</v>
      </c>
      <c r="AO55" s="1">
        <f t="shared" si="338"/>
        <v>0</v>
      </c>
      <c r="AP55" s="1">
        <f t="shared" si="338"/>
        <v>0</v>
      </c>
      <c r="AQ55" s="1">
        <f t="shared" si="338"/>
        <v>0</v>
      </c>
      <c r="AR55" s="1">
        <f t="shared" si="338"/>
        <v>0</v>
      </c>
      <c r="AS55" s="1">
        <f t="shared" si="338"/>
        <v>0</v>
      </c>
      <c r="AT55" s="1">
        <f t="shared" si="338"/>
        <v>0</v>
      </c>
      <c r="AU55" s="1">
        <f t="shared" si="338"/>
        <v>0</v>
      </c>
      <c r="AV55" s="1">
        <f t="shared" si="338"/>
        <v>0</v>
      </c>
      <c r="AW55" s="1">
        <f t="shared" si="338"/>
        <v>0</v>
      </c>
      <c r="AX55" s="1">
        <f t="shared" si="338"/>
        <v>0</v>
      </c>
      <c r="AY55" s="1">
        <f t="shared" si="338"/>
        <v>0</v>
      </c>
      <c r="AZ55" s="1">
        <f t="shared" si="338"/>
        <v>0</v>
      </c>
      <c r="BA55" s="1">
        <f t="shared" si="338"/>
        <v>0</v>
      </c>
      <c r="BB55" s="1">
        <f t="shared" si="338"/>
        <v>0</v>
      </c>
      <c r="BC55" s="1">
        <f t="shared" si="338"/>
        <v>0</v>
      </c>
      <c r="BD55" s="1">
        <f t="shared" si="338"/>
        <v>0</v>
      </c>
      <c r="BE55" s="1">
        <f t="shared" si="338"/>
        <v>0</v>
      </c>
      <c r="BF55" s="1">
        <f t="shared" si="338"/>
        <v>0</v>
      </c>
      <c r="BG55" s="1">
        <f t="shared" si="338"/>
        <v>0</v>
      </c>
      <c r="BH55" s="1">
        <f t="shared" si="338"/>
        <v>0</v>
      </c>
      <c r="BI55" s="1">
        <f t="shared" si="338"/>
        <v>0</v>
      </c>
      <c r="BJ55" s="1">
        <f t="shared" si="338"/>
        <v>0</v>
      </c>
      <c r="BK55" s="1">
        <f t="shared" si="338"/>
        <v>0</v>
      </c>
      <c r="BL55" s="1">
        <f t="shared" si="338"/>
        <v>0</v>
      </c>
      <c r="BM55" s="1">
        <f t="shared" si="338"/>
        <v>0</v>
      </c>
      <c r="BN55" s="1">
        <f t="shared" si="338"/>
        <v>0</v>
      </c>
      <c r="BO55" s="1">
        <f t="shared" si="338"/>
        <v>0</v>
      </c>
      <c r="BP55" s="1">
        <f t="shared" si="338"/>
        <v>0</v>
      </c>
      <c r="BQ55" s="1">
        <f t="shared" si="338"/>
        <v>0</v>
      </c>
      <c r="BR55" s="1">
        <f t="shared" si="338"/>
        <v>0</v>
      </c>
      <c r="BS55" s="1">
        <f t="shared" ref="BS55:CX55" si="339">+(IF($A55="","",IF($D55&gt;MONTH(BS$16)-MONTH(InicioFuncion)+12*(YEAR(BS$16)-YEAR(InicioFuncion))+1,0,IF($E55&lt;=(MONTH(BS$16)-MONTH(InicioFuncion)+12*(YEAR(BS$16)-YEAR(InicioFuncion)))-$D55+IF($D55&lt;&gt;"",1,0),0,IF(BS$15&gt;$B$9,0,IF((YEAR($B$8)-YEAR($B$7))*12+(MONTH($B$8)-MONTH($B$7))+$E$14&lt;=BR$14,$C55))))*HLOOKUP(YEAR(BS$16),$E$3:$O$5,3,0)))</f>
        <v>0</v>
      </c>
      <c r="BT55" s="1">
        <f t="shared" si="339"/>
        <v>0</v>
      </c>
      <c r="BU55" s="1">
        <f t="shared" si="339"/>
        <v>0</v>
      </c>
      <c r="BV55" s="1">
        <f t="shared" si="339"/>
        <v>0</v>
      </c>
      <c r="BW55" s="1">
        <f t="shared" si="339"/>
        <v>0</v>
      </c>
      <c r="BX55" s="1">
        <f t="shared" si="339"/>
        <v>0</v>
      </c>
      <c r="BY55" s="1">
        <f t="shared" si="339"/>
        <v>0</v>
      </c>
      <c r="BZ55" s="1">
        <f t="shared" si="339"/>
        <v>0</v>
      </c>
      <c r="CA55" s="1">
        <f t="shared" si="339"/>
        <v>0</v>
      </c>
      <c r="CB55" s="1">
        <f t="shared" si="339"/>
        <v>0</v>
      </c>
      <c r="CC55" s="1">
        <f t="shared" si="339"/>
        <v>0</v>
      </c>
      <c r="CD55" s="1">
        <f t="shared" si="339"/>
        <v>0</v>
      </c>
      <c r="CE55" s="1">
        <f t="shared" si="339"/>
        <v>0</v>
      </c>
      <c r="CF55" s="1">
        <f t="shared" si="339"/>
        <v>0</v>
      </c>
      <c r="CG55" s="1">
        <f t="shared" si="339"/>
        <v>0</v>
      </c>
      <c r="CH55" s="1">
        <f t="shared" si="339"/>
        <v>0</v>
      </c>
      <c r="CI55" s="1">
        <f t="shared" si="339"/>
        <v>0</v>
      </c>
      <c r="CJ55" s="1">
        <f t="shared" si="339"/>
        <v>0</v>
      </c>
      <c r="CK55" s="1">
        <f t="shared" si="339"/>
        <v>0</v>
      </c>
      <c r="CL55" s="1">
        <f t="shared" si="339"/>
        <v>0</v>
      </c>
      <c r="CM55" s="1">
        <f t="shared" si="339"/>
        <v>0</v>
      </c>
      <c r="CN55" s="1">
        <f t="shared" si="339"/>
        <v>0</v>
      </c>
      <c r="CO55" s="1">
        <f t="shared" si="339"/>
        <v>0</v>
      </c>
      <c r="CP55" s="1">
        <f t="shared" si="339"/>
        <v>0</v>
      </c>
      <c r="CQ55" s="1">
        <f t="shared" si="339"/>
        <v>0</v>
      </c>
      <c r="CR55" s="1">
        <f t="shared" si="339"/>
        <v>0</v>
      </c>
      <c r="CS55" s="1">
        <f t="shared" si="339"/>
        <v>0</v>
      </c>
      <c r="CT55" s="1">
        <f t="shared" si="339"/>
        <v>0</v>
      </c>
      <c r="CU55" s="1">
        <f t="shared" si="339"/>
        <v>0</v>
      </c>
      <c r="CV55" s="1">
        <f t="shared" si="339"/>
        <v>0</v>
      </c>
      <c r="CW55" s="1">
        <f t="shared" si="339"/>
        <v>0</v>
      </c>
      <c r="CX55" s="1">
        <f t="shared" si="339"/>
        <v>0</v>
      </c>
      <c r="CY55" s="1">
        <f t="shared" ref="CY55:DV55" si="340">+(IF($A55="","",IF($D55&gt;MONTH(CY$16)-MONTH(InicioFuncion)+12*(YEAR(CY$16)-YEAR(InicioFuncion))+1,0,IF($E55&lt;=(MONTH(CY$16)-MONTH(InicioFuncion)+12*(YEAR(CY$16)-YEAR(InicioFuncion)))-$D55+IF($D55&lt;&gt;"",1,0),0,IF(CY$15&gt;$B$9,0,IF((YEAR($B$8)-YEAR($B$7))*12+(MONTH($B$8)-MONTH($B$7))+$E$14&lt;=CX$14,$C55))))*HLOOKUP(YEAR(CY$16),$E$3:$O$5,3,0)))</f>
        <v>0</v>
      </c>
      <c r="CZ55" s="1">
        <f t="shared" si="340"/>
        <v>0</v>
      </c>
      <c r="DA55" s="1">
        <f t="shared" si="340"/>
        <v>0</v>
      </c>
      <c r="DB55" s="1">
        <f t="shared" si="340"/>
        <v>0</v>
      </c>
      <c r="DC55" s="1">
        <f t="shared" si="340"/>
        <v>0</v>
      </c>
      <c r="DD55" s="1">
        <f t="shared" si="340"/>
        <v>0</v>
      </c>
      <c r="DE55" s="1">
        <f t="shared" si="340"/>
        <v>0</v>
      </c>
      <c r="DF55" s="1">
        <f t="shared" si="340"/>
        <v>0</v>
      </c>
      <c r="DG55" s="1">
        <f t="shared" si="340"/>
        <v>0</v>
      </c>
      <c r="DH55" s="1">
        <f t="shared" si="340"/>
        <v>0</v>
      </c>
      <c r="DI55" s="1">
        <f t="shared" si="340"/>
        <v>0</v>
      </c>
      <c r="DJ55" s="1">
        <f t="shared" si="340"/>
        <v>0</v>
      </c>
      <c r="DK55" s="1">
        <f t="shared" si="340"/>
        <v>0</v>
      </c>
      <c r="DL55" s="1">
        <f t="shared" si="340"/>
        <v>0</v>
      </c>
      <c r="DM55" s="1">
        <f t="shared" si="340"/>
        <v>0</v>
      </c>
      <c r="DN55" s="1">
        <f t="shared" si="340"/>
        <v>0</v>
      </c>
      <c r="DO55" s="1">
        <f t="shared" si="340"/>
        <v>0</v>
      </c>
      <c r="DP55" s="1">
        <f t="shared" si="340"/>
        <v>0</v>
      </c>
      <c r="DQ55" s="1">
        <f t="shared" si="340"/>
        <v>0</v>
      </c>
      <c r="DR55" s="1">
        <f t="shared" si="340"/>
        <v>0</v>
      </c>
      <c r="DS55" s="1">
        <f t="shared" si="340"/>
        <v>0</v>
      </c>
      <c r="DT55" s="1">
        <f t="shared" si="340"/>
        <v>0</v>
      </c>
      <c r="DU55" s="1">
        <f t="shared" si="340"/>
        <v>0</v>
      </c>
      <c r="DV55" s="1">
        <f t="shared" si="340"/>
        <v>0</v>
      </c>
    </row>
    <row r="56" spans="1:126" x14ac:dyDescent="0.25">
      <c r="A56" s="29" t="s">
        <v>61</v>
      </c>
      <c r="B56" s="26"/>
      <c r="C56" s="36">
        <f>+SUMIFS(ValoresMercado,Conceptos,A56)</f>
        <v>5052.9840000000004</v>
      </c>
      <c r="D56" s="35"/>
      <c r="E56" s="35">
        <f t="shared" si="37"/>
        <v>56</v>
      </c>
      <c r="F56" s="1">
        <f t="shared" si="328"/>
        <v>0</v>
      </c>
      <c r="G56" s="1">
        <f t="shared" ref="G56:AL56" si="341">+(IF($A56="","",IF($D56&gt;MONTH(G$16)-MONTH(InicioFuncion)+12*(YEAR(G$16)-YEAR(InicioFuncion))+1,0,IF($E56&lt;=(MONTH(G$16)-MONTH(InicioFuncion)+12*(YEAR(G$16)-YEAR(InicioFuncion)))-$D56+IF($D56&lt;&gt;"",1,0),0,IF(G$15&gt;$B$9,0,IF((YEAR($B$8)-YEAR($B$7))*12+(MONTH($B$8)-MONTH($B$7))+$E$14&lt;=F$14,$C56))))*HLOOKUP(YEAR(G$16),$E$3:$O$5,3,0)))</f>
        <v>0</v>
      </c>
      <c r="H56" s="1">
        <f t="shared" si="341"/>
        <v>5052.9840000000004</v>
      </c>
      <c r="I56" s="1">
        <f t="shared" si="341"/>
        <v>5052.9840000000004</v>
      </c>
      <c r="J56" s="1">
        <f t="shared" si="341"/>
        <v>5052.9840000000004</v>
      </c>
      <c r="K56" s="1">
        <f t="shared" si="341"/>
        <v>5052.9840000000004</v>
      </c>
      <c r="L56" s="1">
        <f t="shared" si="341"/>
        <v>5052.9840000000004</v>
      </c>
      <c r="M56" s="1">
        <f t="shared" si="341"/>
        <v>5052.9840000000004</v>
      </c>
      <c r="N56" s="1">
        <f t="shared" si="341"/>
        <v>5204.5735200000008</v>
      </c>
      <c r="O56" s="1">
        <f t="shared" si="341"/>
        <v>5204.5735200000008</v>
      </c>
      <c r="P56" s="1">
        <f t="shared" si="341"/>
        <v>5204.5735200000008</v>
      </c>
      <c r="Q56" s="1">
        <f t="shared" si="341"/>
        <v>5204.5735200000008</v>
      </c>
      <c r="R56" s="1">
        <f t="shared" si="341"/>
        <v>5204.5735200000008</v>
      </c>
      <c r="S56" s="1">
        <f t="shared" si="341"/>
        <v>5204.5735200000008</v>
      </c>
      <c r="T56" s="1">
        <f t="shared" si="341"/>
        <v>5204.5735200000008</v>
      </c>
      <c r="U56" s="1">
        <f t="shared" si="341"/>
        <v>5204.5735200000008</v>
      </c>
      <c r="V56" s="1">
        <f t="shared" si="341"/>
        <v>5204.5735200000008</v>
      </c>
      <c r="W56" s="1">
        <f t="shared" si="341"/>
        <v>5204.5735200000008</v>
      </c>
      <c r="X56" s="1">
        <f t="shared" si="341"/>
        <v>5204.5735200000008</v>
      </c>
      <c r="Y56" s="1">
        <f t="shared" si="341"/>
        <v>5204.5735200000008</v>
      </c>
      <c r="Z56" s="1">
        <f t="shared" si="341"/>
        <v>5360.7107255999999</v>
      </c>
      <c r="AA56" s="1">
        <f t="shared" si="341"/>
        <v>5360.7107255999999</v>
      </c>
      <c r="AB56" s="1">
        <f t="shared" si="341"/>
        <v>5360.7107255999999</v>
      </c>
      <c r="AC56" s="1">
        <f t="shared" si="341"/>
        <v>5360.7107255999999</v>
      </c>
      <c r="AD56" s="1">
        <f t="shared" si="341"/>
        <v>5360.7107255999999</v>
      </c>
      <c r="AE56" s="1">
        <f t="shared" si="341"/>
        <v>5360.7107255999999</v>
      </c>
      <c r="AF56" s="1">
        <f t="shared" si="341"/>
        <v>5360.7107255999999</v>
      </c>
      <c r="AG56" s="1">
        <f t="shared" si="341"/>
        <v>5360.7107255999999</v>
      </c>
      <c r="AH56" s="1">
        <f t="shared" si="341"/>
        <v>5360.7107255999999</v>
      </c>
      <c r="AI56" s="1">
        <f t="shared" si="341"/>
        <v>5360.7107255999999</v>
      </c>
      <c r="AJ56" s="1">
        <f t="shared" si="341"/>
        <v>5360.7107255999999</v>
      </c>
      <c r="AK56" s="1">
        <f t="shared" si="341"/>
        <v>5360.7107255999999</v>
      </c>
      <c r="AL56" s="1">
        <f t="shared" si="341"/>
        <v>5521.5320473680003</v>
      </c>
      <c r="AM56" s="1">
        <f t="shared" ref="AM56:BR56" si="342">+(IF($A56="","",IF($D56&gt;MONTH(AM$16)-MONTH(InicioFuncion)+12*(YEAR(AM$16)-YEAR(InicioFuncion))+1,0,IF($E56&lt;=(MONTH(AM$16)-MONTH(InicioFuncion)+12*(YEAR(AM$16)-YEAR(InicioFuncion)))-$D56+IF($D56&lt;&gt;"",1,0),0,IF(AM$15&gt;$B$9,0,IF((YEAR($B$8)-YEAR($B$7))*12+(MONTH($B$8)-MONTH($B$7))+$E$14&lt;=AL$14,$C56))))*HLOOKUP(YEAR(AM$16),$E$3:$O$5,3,0)))</f>
        <v>5521.5320473680003</v>
      </c>
      <c r="AN56" s="1">
        <f t="shared" si="342"/>
        <v>5521.5320473680003</v>
      </c>
      <c r="AO56" s="1">
        <f t="shared" si="342"/>
        <v>5521.5320473680003</v>
      </c>
      <c r="AP56" s="1">
        <f t="shared" si="342"/>
        <v>5521.5320473680003</v>
      </c>
      <c r="AQ56" s="1">
        <f t="shared" si="342"/>
        <v>5521.5320473680003</v>
      </c>
      <c r="AR56" s="1">
        <f t="shared" si="342"/>
        <v>5521.5320473680003</v>
      </c>
      <c r="AS56" s="1">
        <f t="shared" si="342"/>
        <v>5521.5320473680003</v>
      </c>
      <c r="AT56" s="1">
        <f t="shared" si="342"/>
        <v>5521.5320473680003</v>
      </c>
      <c r="AU56" s="1">
        <f t="shared" si="342"/>
        <v>5521.5320473680003</v>
      </c>
      <c r="AV56" s="1">
        <f t="shared" si="342"/>
        <v>5521.5320473680003</v>
      </c>
      <c r="AW56" s="1">
        <f t="shared" si="342"/>
        <v>5521.5320473680003</v>
      </c>
      <c r="AX56" s="1">
        <f t="shared" si="342"/>
        <v>5687.1780087890411</v>
      </c>
      <c r="AY56" s="1">
        <f t="shared" si="342"/>
        <v>5687.1780087890411</v>
      </c>
      <c r="AZ56" s="1">
        <f t="shared" si="342"/>
        <v>5687.1780087890411</v>
      </c>
      <c r="BA56" s="1">
        <f t="shared" si="342"/>
        <v>5687.1780087890411</v>
      </c>
      <c r="BB56" s="1">
        <f t="shared" si="342"/>
        <v>5687.1780087890411</v>
      </c>
      <c r="BC56" s="1">
        <f t="shared" si="342"/>
        <v>5687.1780087890411</v>
      </c>
      <c r="BD56" s="1">
        <f t="shared" si="342"/>
        <v>5687.1780087890411</v>
      </c>
      <c r="BE56" s="1">
        <f t="shared" si="342"/>
        <v>5687.1780087890411</v>
      </c>
      <c r="BF56" s="1">
        <f t="shared" si="342"/>
        <v>5687.1780087890411</v>
      </c>
      <c r="BG56" s="1">
        <f t="shared" si="342"/>
        <v>5687.1780087890411</v>
      </c>
      <c r="BH56" s="1">
        <f t="shared" si="342"/>
        <v>5687.1780087890411</v>
      </c>
      <c r="BI56" s="1">
        <f t="shared" si="342"/>
        <v>5687.1780087890411</v>
      </c>
      <c r="BJ56" s="1">
        <f t="shared" si="342"/>
        <v>5857.7933490527121</v>
      </c>
      <c r="BK56" s="1">
        <f t="shared" si="342"/>
        <v>0</v>
      </c>
      <c r="BL56" s="1">
        <f t="shared" si="342"/>
        <v>0</v>
      </c>
      <c r="BM56" s="1">
        <f t="shared" si="342"/>
        <v>0</v>
      </c>
      <c r="BN56" s="1">
        <f t="shared" si="342"/>
        <v>0</v>
      </c>
      <c r="BO56" s="1">
        <f t="shared" si="342"/>
        <v>0</v>
      </c>
      <c r="BP56" s="1">
        <f t="shared" si="342"/>
        <v>0</v>
      </c>
      <c r="BQ56" s="1">
        <f t="shared" si="342"/>
        <v>0</v>
      </c>
      <c r="BR56" s="1">
        <f t="shared" si="342"/>
        <v>0</v>
      </c>
      <c r="BS56" s="1">
        <f t="shared" ref="BS56:CX56" si="343">+(IF($A56="","",IF($D56&gt;MONTH(BS$16)-MONTH(InicioFuncion)+12*(YEAR(BS$16)-YEAR(InicioFuncion))+1,0,IF($E56&lt;=(MONTH(BS$16)-MONTH(InicioFuncion)+12*(YEAR(BS$16)-YEAR(InicioFuncion)))-$D56+IF($D56&lt;&gt;"",1,0),0,IF(BS$15&gt;$B$9,0,IF((YEAR($B$8)-YEAR($B$7))*12+(MONTH($B$8)-MONTH($B$7))+$E$14&lt;=BR$14,$C56))))*HLOOKUP(YEAR(BS$16),$E$3:$O$5,3,0)))</f>
        <v>0</v>
      </c>
      <c r="BT56" s="1">
        <f t="shared" si="343"/>
        <v>0</v>
      </c>
      <c r="BU56" s="1">
        <f t="shared" si="343"/>
        <v>0</v>
      </c>
      <c r="BV56" s="1">
        <f t="shared" si="343"/>
        <v>0</v>
      </c>
      <c r="BW56" s="1">
        <f t="shared" si="343"/>
        <v>0</v>
      </c>
      <c r="BX56" s="1">
        <f t="shared" si="343"/>
        <v>0</v>
      </c>
      <c r="BY56" s="1">
        <f t="shared" si="343"/>
        <v>0</v>
      </c>
      <c r="BZ56" s="1">
        <f t="shared" si="343"/>
        <v>0</v>
      </c>
      <c r="CA56" s="1">
        <f t="shared" si="343"/>
        <v>0</v>
      </c>
      <c r="CB56" s="1">
        <f t="shared" si="343"/>
        <v>0</v>
      </c>
      <c r="CC56" s="1">
        <f t="shared" si="343"/>
        <v>0</v>
      </c>
      <c r="CD56" s="1">
        <f t="shared" si="343"/>
        <v>0</v>
      </c>
      <c r="CE56" s="1">
        <f t="shared" si="343"/>
        <v>0</v>
      </c>
      <c r="CF56" s="1">
        <f t="shared" si="343"/>
        <v>0</v>
      </c>
      <c r="CG56" s="1">
        <f t="shared" si="343"/>
        <v>0</v>
      </c>
      <c r="CH56" s="1">
        <f t="shared" si="343"/>
        <v>0</v>
      </c>
      <c r="CI56" s="1">
        <f t="shared" si="343"/>
        <v>0</v>
      </c>
      <c r="CJ56" s="1">
        <f t="shared" si="343"/>
        <v>0</v>
      </c>
      <c r="CK56" s="1">
        <f t="shared" si="343"/>
        <v>0</v>
      </c>
      <c r="CL56" s="1">
        <f t="shared" si="343"/>
        <v>0</v>
      </c>
      <c r="CM56" s="1">
        <f t="shared" si="343"/>
        <v>0</v>
      </c>
      <c r="CN56" s="1">
        <f t="shared" si="343"/>
        <v>0</v>
      </c>
      <c r="CO56" s="1">
        <f t="shared" si="343"/>
        <v>0</v>
      </c>
      <c r="CP56" s="1">
        <f t="shared" si="343"/>
        <v>0</v>
      </c>
      <c r="CQ56" s="1">
        <f t="shared" si="343"/>
        <v>0</v>
      </c>
      <c r="CR56" s="1">
        <f t="shared" si="343"/>
        <v>0</v>
      </c>
      <c r="CS56" s="1">
        <f t="shared" si="343"/>
        <v>0</v>
      </c>
      <c r="CT56" s="1">
        <f t="shared" si="343"/>
        <v>0</v>
      </c>
      <c r="CU56" s="1">
        <f t="shared" si="343"/>
        <v>0</v>
      </c>
      <c r="CV56" s="1">
        <f t="shared" si="343"/>
        <v>0</v>
      </c>
      <c r="CW56" s="1">
        <f t="shared" si="343"/>
        <v>0</v>
      </c>
      <c r="CX56" s="1">
        <f t="shared" si="343"/>
        <v>0</v>
      </c>
      <c r="CY56" s="1">
        <f t="shared" ref="CY56:DV56" si="344">+(IF($A56="","",IF($D56&gt;MONTH(CY$16)-MONTH(InicioFuncion)+12*(YEAR(CY$16)-YEAR(InicioFuncion))+1,0,IF($E56&lt;=(MONTH(CY$16)-MONTH(InicioFuncion)+12*(YEAR(CY$16)-YEAR(InicioFuncion)))-$D56+IF($D56&lt;&gt;"",1,0),0,IF(CY$15&gt;$B$9,0,IF((YEAR($B$8)-YEAR($B$7))*12+(MONTH($B$8)-MONTH($B$7))+$E$14&lt;=CX$14,$C56))))*HLOOKUP(YEAR(CY$16),$E$3:$O$5,3,0)))</f>
        <v>0</v>
      </c>
      <c r="CZ56" s="1">
        <f t="shared" si="344"/>
        <v>0</v>
      </c>
      <c r="DA56" s="1">
        <f t="shared" si="344"/>
        <v>0</v>
      </c>
      <c r="DB56" s="1">
        <f t="shared" si="344"/>
        <v>0</v>
      </c>
      <c r="DC56" s="1">
        <f t="shared" si="344"/>
        <v>0</v>
      </c>
      <c r="DD56" s="1">
        <f t="shared" si="344"/>
        <v>0</v>
      </c>
      <c r="DE56" s="1">
        <f t="shared" si="344"/>
        <v>0</v>
      </c>
      <c r="DF56" s="1">
        <f t="shared" si="344"/>
        <v>0</v>
      </c>
      <c r="DG56" s="1">
        <f t="shared" si="344"/>
        <v>0</v>
      </c>
      <c r="DH56" s="1">
        <f t="shared" si="344"/>
        <v>0</v>
      </c>
      <c r="DI56" s="1">
        <f t="shared" si="344"/>
        <v>0</v>
      </c>
      <c r="DJ56" s="1">
        <f t="shared" si="344"/>
        <v>0</v>
      </c>
      <c r="DK56" s="1">
        <f t="shared" si="344"/>
        <v>0</v>
      </c>
      <c r="DL56" s="1">
        <f t="shared" si="344"/>
        <v>0</v>
      </c>
      <c r="DM56" s="1">
        <f t="shared" si="344"/>
        <v>0</v>
      </c>
      <c r="DN56" s="1">
        <f t="shared" si="344"/>
        <v>0</v>
      </c>
      <c r="DO56" s="1">
        <f t="shared" si="344"/>
        <v>0</v>
      </c>
      <c r="DP56" s="1">
        <f t="shared" si="344"/>
        <v>0</v>
      </c>
      <c r="DQ56" s="1">
        <f t="shared" si="344"/>
        <v>0</v>
      </c>
      <c r="DR56" s="1">
        <f t="shared" si="344"/>
        <v>0</v>
      </c>
      <c r="DS56" s="1">
        <f t="shared" si="344"/>
        <v>0</v>
      </c>
      <c r="DT56" s="1">
        <f t="shared" si="344"/>
        <v>0</v>
      </c>
      <c r="DU56" s="1">
        <f t="shared" si="344"/>
        <v>0</v>
      </c>
      <c r="DV56" s="1">
        <f t="shared" si="344"/>
        <v>0</v>
      </c>
    </row>
    <row r="57" spans="1:126" ht="16.5" thickBot="1" x14ac:dyDescent="0.3">
      <c r="A57" s="29" t="s">
        <v>119</v>
      </c>
      <c r="B57" s="26"/>
      <c r="C57" s="36">
        <f>+SUMIFS(ValoresMercado,Conceptos,A57)</f>
        <v>190000</v>
      </c>
      <c r="D57" s="35"/>
      <c r="E57" s="35">
        <f t="shared" si="37"/>
        <v>56</v>
      </c>
      <c r="F57" s="1">
        <f t="shared" si="328"/>
        <v>0</v>
      </c>
      <c r="G57" s="1">
        <f t="shared" ref="G57:AL57" si="345">+(IF($A57="","",IF($D57&gt;MONTH(G$16)-MONTH(InicioFuncion)+12*(YEAR(G$16)-YEAR(InicioFuncion))+1,0,IF($E57&lt;=(MONTH(G$16)-MONTH(InicioFuncion)+12*(YEAR(G$16)-YEAR(InicioFuncion)))-$D57+IF($D57&lt;&gt;"",1,0),0,IF(G$15&gt;$B$9,0,IF((YEAR($B$8)-YEAR($B$7))*12+(MONTH($B$8)-MONTH($B$7))+$E$14&lt;=F$14,$C57))))*HLOOKUP(YEAR(G$16),$E$3:$O$5,3,0)))</f>
        <v>0</v>
      </c>
      <c r="H57" s="1">
        <f t="shared" si="345"/>
        <v>190000</v>
      </c>
      <c r="I57" s="1">
        <f t="shared" si="345"/>
        <v>190000</v>
      </c>
      <c r="J57" s="1">
        <f t="shared" si="345"/>
        <v>190000</v>
      </c>
      <c r="K57" s="1">
        <f t="shared" si="345"/>
        <v>190000</v>
      </c>
      <c r="L57" s="1">
        <f t="shared" si="345"/>
        <v>190000</v>
      </c>
      <c r="M57" s="1">
        <f t="shared" si="345"/>
        <v>190000</v>
      </c>
      <c r="N57" s="1">
        <f t="shared" si="345"/>
        <v>195700</v>
      </c>
      <c r="O57" s="1">
        <f t="shared" si="345"/>
        <v>195700</v>
      </c>
      <c r="P57" s="1">
        <f t="shared" si="345"/>
        <v>195700</v>
      </c>
      <c r="Q57" s="1">
        <f t="shared" si="345"/>
        <v>195700</v>
      </c>
      <c r="R57" s="1">
        <f t="shared" si="345"/>
        <v>195700</v>
      </c>
      <c r="S57" s="1">
        <f t="shared" si="345"/>
        <v>195700</v>
      </c>
      <c r="T57" s="1">
        <f t="shared" si="345"/>
        <v>195700</v>
      </c>
      <c r="U57" s="1">
        <f t="shared" si="345"/>
        <v>195700</v>
      </c>
      <c r="V57" s="1">
        <f t="shared" si="345"/>
        <v>195700</v>
      </c>
      <c r="W57" s="1">
        <f t="shared" si="345"/>
        <v>195700</v>
      </c>
      <c r="X57" s="1">
        <f t="shared" si="345"/>
        <v>195700</v>
      </c>
      <c r="Y57" s="1">
        <f t="shared" si="345"/>
        <v>195700</v>
      </c>
      <c r="Z57" s="1">
        <f t="shared" si="345"/>
        <v>201571</v>
      </c>
      <c r="AA57" s="1">
        <f t="shared" si="345"/>
        <v>201571</v>
      </c>
      <c r="AB57" s="1">
        <f t="shared" si="345"/>
        <v>201571</v>
      </c>
      <c r="AC57" s="1">
        <f t="shared" si="345"/>
        <v>201571</v>
      </c>
      <c r="AD57" s="1">
        <f t="shared" si="345"/>
        <v>201571</v>
      </c>
      <c r="AE57" s="1">
        <f t="shared" si="345"/>
        <v>201571</v>
      </c>
      <c r="AF57" s="1">
        <f t="shared" si="345"/>
        <v>201571</v>
      </c>
      <c r="AG57" s="1">
        <f t="shared" si="345"/>
        <v>201571</v>
      </c>
      <c r="AH57" s="1">
        <f t="shared" si="345"/>
        <v>201571</v>
      </c>
      <c r="AI57" s="1">
        <f t="shared" si="345"/>
        <v>201571</v>
      </c>
      <c r="AJ57" s="1">
        <f t="shared" si="345"/>
        <v>201571</v>
      </c>
      <c r="AK57" s="1">
        <f t="shared" si="345"/>
        <v>201571</v>
      </c>
      <c r="AL57" s="1">
        <f t="shared" si="345"/>
        <v>207618.13</v>
      </c>
      <c r="AM57" s="1">
        <f t="shared" ref="AM57:BR57" si="346">+(IF($A57="","",IF($D57&gt;MONTH(AM$16)-MONTH(InicioFuncion)+12*(YEAR(AM$16)-YEAR(InicioFuncion))+1,0,IF($E57&lt;=(MONTH(AM$16)-MONTH(InicioFuncion)+12*(YEAR(AM$16)-YEAR(InicioFuncion)))-$D57+IF($D57&lt;&gt;"",1,0),0,IF(AM$15&gt;$B$9,0,IF((YEAR($B$8)-YEAR($B$7))*12+(MONTH($B$8)-MONTH($B$7))+$E$14&lt;=AL$14,$C57))))*HLOOKUP(YEAR(AM$16),$E$3:$O$5,3,0)))</f>
        <v>207618.13</v>
      </c>
      <c r="AN57" s="1">
        <f t="shared" si="346"/>
        <v>207618.13</v>
      </c>
      <c r="AO57" s="1">
        <f t="shared" si="346"/>
        <v>207618.13</v>
      </c>
      <c r="AP57" s="1">
        <f t="shared" si="346"/>
        <v>207618.13</v>
      </c>
      <c r="AQ57" s="1">
        <f t="shared" si="346"/>
        <v>207618.13</v>
      </c>
      <c r="AR57" s="1">
        <f t="shared" si="346"/>
        <v>207618.13</v>
      </c>
      <c r="AS57" s="1">
        <f t="shared" si="346"/>
        <v>207618.13</v>
      </c>
      <c r="AT57" s="1">
        <f t="shared" si="346"/>
        <v>207618.13</v>
      </c>
      <c r="AU57" s="1">
        <f t="shared" si="346"/>
        <v>207618.13</v>
      </c>
      <c r="AV57" s="1">
        <f t="shared" si="346"/>
        <v>207618.13</v>
      </c>
      <c r="AW57" s="1">
        <f t="shared" si="346"/>
        <v>207618.13</v>
      </c>
      <c r="AX57" s="1">
        <f t="shared" si="346"/>
        <v>213846.67390000002</v>
      </c>
      <c r="AY57" s="1">
        <f t="shared" si="346"/>
        <v>213846.67390000002</v>
      </c>
      <c r="AZ57" s="1">
        <f t="shared" si="346"/>
        <v>213846.67390000002</v>
      </c>
      <c r="BA57" s="1">
        <f t="shared" si="346"/>
        <v>213846.67390000002</v>
      </c>
      <c r="BB57" s="1">
        <f t="shared" si="346"/>
        <v>213846.67390000002</v>
      </c>
      <c r="BC57" s="1">
        <f t="shared" si="346"/>
        <v>213846.67390000002</v>
      </c>
      <c r="BD57" s="1">
        <f t="shared" si="346"/>
        <v>213846.67390000002</v>
      </c>
      <c r="BE57" s="1">
        <f t="shared" si="346"/>
        <v>213846.67390000002</v>
      </c>
      <c r="BF57" s="1">
        <f t="shared" si="346"/>
        <v>213846.67390000002</v>
      </c>
      <c r="BG57" s="1">
        <f t="shared" si="346"/>
        <v>213846.67390000002</v>
      </c>
      <c r="BH57" s="1">
        <f t="shared" si="346"/>
        <v>213846.67390000002</v>
      </c>
      <c r="BI57" s="1">
        <f t="shared" si="346"/>
        <v>213846.67390000002</v>
      </c>
      <c r="BJ57" s="1">
        <f t="shared" si="346"/>
        <v>220262.07411700001</v>
      </c>
      <c r="BK57" s="1">
        <f t="shared" si="346"/>
        <v>0</v>
      </c>
      <c r="BL57" s="1">
        <f t="shared" si="346"/>
        <v>0</v>
      </c>
      <c r="BM57" s="1">
        <f t="shared" si="346"/>
        <v>0</v>
      </c>
      <c r="BN57" s="1">
        <f t="shared" si="346"/>
        <v>0</v>
      </c>
      <c r="BO57" s="1">
        <f t="shared" si="346"/>
        <v>0</v>
      </c>
      <c r="BP57" s="1">
        <f t="shared" si="346"/>
        <v>0</v>
      </c>
      <c r="BQ57" s="1">
        <f t="shared" si="346"/>
        <v>0</v>
      </c>
      <c r="BR57" s="1">
        <f t="shared" si="346"/>
        <v>0</v>
      </c>
      <c r="BS57" s="1">
        <f t="shared" ref="BS57:CX57" si="347">+(IF($A57="","",IF($D57&gt;MONTH(BS$16)-MONTH(InicioFuncion)+12*(YEAR(BS$16)-YEAR(InicioFuncion))+1,0,IF($E57&lt;=(MONTH(BS$16)-MONTH(InicioFuncion)+12*(YEAR(BS$16)-YEAR(InicioFuncion)))-$D57+IF($D57&lt;&gt;"",1,0),0,IF(BS$15&gt;$B$9,0,IF((YEAR($B$8)-YEAR($B$7))*12+(MONTH($B$8)-MONTH($B$7))+$E$14&lt;=BR$14,$C57))))*HLOOKUP(YEAR(BS$16),$E$3:$O$5,3,0)))</f>
        <v>0</v>
      </c>
      <c r="BT57" s="1">
        <f t="shared" si="347"/>
        <v>0</v>
      </c>
      <c r="BU57" s="1">
        <f t="shared" si="347"/>
        <v>0</v>
      </c>
      <c r="BV57" s="1">
        <f t="shared" si="347"/>
        <v>0</v>
      </c>
      <c r="BW57" s="1">
        <f t="shared" si="347"/>
        <v>0</v>
      </c>
      <c r="BX57" s="1">
        <f t="shared" si="347"/>
        <v>0</v>
      </c>
      <c r="BY57" s="1">
        <f t="shared" si="347"/>
        <v>0</v>
      </c>
      <c r="BZ57" s="1">
        <f t="shared" si="347"/>
        <v>0</v>
      </c>
      <c r="CA57" s="1">
        <f t="shared" si="347"/>
        <v>0</v>
      </c>
      <c r="CB57" s="1">
        <f t="shared" si="347"/>
        <v>0</v>
      </c>
      <c r="CC57" s="1">
        <f t="shared" si="347"/>
        <v>0</v>
      </c>
      <c r="CD57" s="1">
        <f t="shared" si="347"/>
        <v>0</v>
      </c>
      <c r="CE57" s="1">
        <f t="shared" si="347"/>
        <v>0</v>
      </c>
      <c r="CF57" s="1">
        <f t="shared" si="347"/>
        <v>0</v>
      </c>
      <c r="CG57" s="1">
        <f t="shared" si="347"/>
        <v>0</v>
      </c>
      <c r="CH57" s="1">
        <f t="shared" si="347"/>
        <v>0</v>
      </c>
      <c r="CI57" s="1">
        <f t="shared" si="347"/>
        <v>0</v>
      </c>
      <c r="CJ57" s="1">
        <f t="shared" si="347"/>
        <v>0</v>
      </c>
      <c r="CK57" s="1">
        <f t="shared" si="347"/>
        <v>0</v>
      </c>
      <c r="CL57" s="1">
        <f t="shared" si="347"/>
        <v>0</v>
      </c>
      <c r="CM57" s="1">
        <f t="shared" si="347"/>
        <v>0</v>
      </c>
      <c r="CN57" s="1">
        <f t="shared" si="347"/>
        <v>0</v>
      </c>
      <c r="CO57" s="1">
        <f t="shared" si="347"/>
        <v>0</v>
      </c>
      <c r="CP57" s="1">
        <f t="shared" si="347"/>
        <v>0</v>
      </c>
      <c r="CQ57" s="1">
        <f t="shared" si="347"/>
        <v>0</v>
      </c>
      <c r="CR57" s="1">
        <f t="shared" si="347"/>
        <v>0</v>
      </c>
      <c r="CS57" s="1">
        <f t="shared" si="347"/>
        <v>0</v>
      </c>
      <c r="CT57" s="1">
        <f t="shared" si="347"/>
        <v>0</v>
      </c>
      <c r="CU57" s="1">
        <f t="shared" si="347"/>
        <v>0</v>
      </c>
      <c r="CV57" s="1">
        <f t="shared" si="347"/>
        <v>0</v>
      </c>
      <c r="CW57" s="1">
        <f t="shared" si="347"/>
        <v>0</v>
      </c>
      <c r="CX57" s="1">
        <f t="shared" si="347"/>
        <v>0</v>
      </c>
      <c r="CY57" s="1">
        <f t="shared" ref="CY57:DV57" si="348">+(IF($A57="","",IF($D57&gt;MONTH(CY$16)-MONTH(InicioFuncion)+12*(YEAR(CY$16)-YEAR(InicioFuncion))+1,0,IF($E57&lt;=(MONTH(CY$16)-MONTH(InicioFuncion)+12*(YEAR(CY$16)-YEAR(InicioFuncion)))-$D57+IF($D57&lt;&gt;"",1,0),0,IF(CY$15&gt;$B$9,0,IF((YEAR($B$8)-YEAR($B$7))*12+(MONTH($B$8)-MONTH($B$7))+$E$14&lt;=CX$14,$C57))))*HLOOKUP(YEAR(CY$16),$E$3:$O$5,3,0)))</f>
        <v>0</v>
      </c>
      <c r="CZ57" s="1">
        <f t="shared" si="348"/>
        <v>0</v>
      </c>
      <c r="DA57" s="1">
        <f t="shared" si="348"/>
        <v>0</v>
      </c>
      <c r="DB57" s="1">
        <f t="shared" si="348"/>
        <v>0</v>
      </c>
      <c r="DC57" s="1">
        <f t="shared" si="348"/>
        <v>0</v>
      </c>
      <c r="DD57" s="1">
        <f t="shared" si="348"/>
        <v>0</v>
      </c>
      <c r="DE57" s="1">
        <f t="shared" si="348"/>
        <v>0</v>
      </c>
      <c r="DF57" s="1">
        <f t="shared" si="348"/>
        <v>0</v>
      </c>
      <c r="DG57" s="1">
        <f t="shared" si="348"/>
        <v>0</v>
      </c>
      <c r="DH57" s="1">
        <f t="shared" si="348"/>
        <v>0</v>
      </c>
      <c r="DI57" s="1">
        <f t="shared" si="348"/>
        <v>0</v>
      </c>
      <c r="DJ57" s="1">
        <f t="shared" si="348"/>
        <v>0</v>
      </c>
      <c r="DK57" s="1">
        <f t="shared" si="348"/>
        <v>0</v>
      </c>
      <c r="DL57" s="1">
        <f t="shared" si="348"/>
        <v>0</v>
      </c>
      <c r="DM57" s="1">
        <f t="shared" si="348"/>
        <v>0</v>
      </c>
      <c r="DN57" s="1">
        <f t="shared" si="348"/>
        <v>0</v>
      </c>
      <c r="DO57" s="1">
        <f t="shared" si="348"/>
        <v>0</v>
      </c>
      <c r="DP57" s="1">
        <f t="shared" si="348"/>
        <v>0</v>
      </c>
      <c r="DQ57" s="1">
        <f t="shared" si="348"/>
        <v>0</v>
      </c>
      <c r="DR57" s="1">
        <f t="shared" si="348"/>
        <v>0</v>
      </c>
      <c r="DS57" s="1">
        <f t="shared" si="348"/>
        <v>0</v>
      </c>
      <c r="DT57" s="1">
        <f t="shared" si="348"/>
        <v>0</v>
      </c>
      <c r="DU57" s="1">
        <f t="shared" si="348"/>
        <v>0</v>
      </c>
      <c r="DV57" s="1">
        <f t="shared" si="348"/>
        <v>0</v>
      </c>
    </row>
    <row r="58" spans="1:126" ht="16.5" thickBot="1" x14ac:dyDescent="0.3">
      <c r="A58" s="159" t="s">
        <v>259</v>
      </c>
      <c r="B58" s="160"/>
      <c r="C58" s="161"/>
      <c r="D58" s="35"/>
      <c r="E58" s="35">
        <f t="shared" si="37"/>
        <v>56</v>
      </c>
      <c r="F58" s="1">
        <f t="shared" si="328"/>
        <v>0</v>
      </c>
      <c r="G58" s="1">
        <f t="shared" ref="G58:AL58" si="349">+(IF($A58="","",IF($D58&gt;MONTH(G$16)-MONTH(InicioFuncion)+12*(YEAR(G$16)-YEAR(InicioFuncion))+1,0,IF($E58&lt;=(MONTH(G$16)-MONTH(InicioFuncion)+12*(YEAR(G$16)-YEAR(InicioFuncion)))-$D58,0,IF(G$15&gt;$B$9,0,IF((YEAR($B$8)-YEAR($B$7))*12+(MONTH($B$8)-MONTH($B$7))+$E$14&lt;=F$14,$C58))))*HLOOKUP(YEAR(G$16),$E$3:$O$5,3,0)))</f>
        <v>0</v>
      </c>
      <c r="H58" s="1">
        <f t="shared" si="349"/>
        <v>0</v>
      </c>
      <c r="I58" s="1">
        <f t="shared" si="349"/>
        <v>0</v>
      </c>
      <c r="J58" s="1">
        <f t="shared" si="349"/>
        <v>0</v>
      </c>
      <c r="K58" s="1">
        <f t="shared" si="349"/>
        <v>0</v>
      </c>
      <c r="L58" s="1">
        <f t="shared" si="349"/>
        <v>0</v>
      </c>
      <c r="M58" s="1">
        <f t="shared" si="349"/>
        <v>0</v>
      </c>
      <c r="N58" s="1">
        <f t="shared" si="349"/>
        <v>0</v>
      </c>
      <c r="O58" s="1">
        <f t="shared" si="349"/>
        <v>0</v>
      </c>
      <c r="P58" s="1">
        <f t="shared" si="349"/>
        <v>0</v>
      </c>
      <c r="Q58" s="1">
        <f t="shared" si="349"/>
        <v>0</v>
      </c>
      <c r="R58" s="1">
        <f t="shared" si="349"/>
        <v>0</v>
      </c>
      <c r="S58" s="1">
        <f t="shared" si="349"/>
        <v>0</v>
      </c>
      <c r="T58" s="1">
        <f t="shared" si="349"/>
        <v>0</v>
      </c>
      <c r="U58" s="1">
        <f t="shared" si="349"/>
        <v>0</v>
      </c>
      <c r="V58" s="1">
        <f t="shared" si="349"/>
        <v>0</v>
      </c>
      <c r="W58" s="1">
        <f t="shared" si="349"/>
        <v>0</v>
      </c>
      <c r="X58" s="1">
        <f t="shared" si="349"/>
        <v>0</v>
      </c>
      <c r="Y58" s="1">
        <f t="shared" si="349"/>
        <v>0</v>
      </c>
      <c r="Z58" s="1">
        <f t="shared" si="349"/>
        <v>0</v>
      </c>
      <c r="AA58" s="1">
        <f t="shared" si="349"/>
        <v>0</v>
      </c>
      <c r="AB58" s="1">
        <f t="shared" si="349"/>
        <v>0</v>
      </c>
      <c r="AC58" s="1">
        <f t="shared" si="349"/>
        <v>0</v>
      </c>
      <c r="AD58" s="1">
        <f t="shared" si="349"/>
        <v>0</v>
      </c>
      <c r="AE58" s="1">
        <f t="shared" si="349"/>
        <v>0</v>
      </c>
      <c r="AF58" s="1">
        <f t="shared" si="349"/>
        <v>0</v>
      </c>
      <c r="AG58" s="1">
        <f t="shared" si="349"/>
        <v>0</v>
      </c>
      <c r="AH58" s="1">
        <f t="shared" si="349"/>
        <v>0</v>
      </c>
      <c r="AI58" s="1">
        <f t="shared" si="349"/>
        <v>0</v>
      </c>
      <c r="AJ58" s="1">
        <f t="shared" si="349"/>
        <v>0</v>
      </c>
      <c r="AK58" s="1">
        <f t="shared" si="349"/>
        <v>0</v>
      </c>
      <c r="AL58" s="1">
        <f t="shared" si="349"/>
        <v>0</v>
      </c>
      <c r="AM58" s="1">
        <f t="shared" ref="AM58:BR58" si="350">+(IF($A58="","",IF($D58&gt;MONTH(AM$16)-MONTH(InicioFuncion)+12*(YEAR(AM$16)-YEAR(InicioFuncion))+1,0,IF($E58&lt;=(MONTH(AM$16)-MONTH(InicioFuncion)+12*(YEAR(AM$16)-YEAR(InicioFuncion)))-$D58,0,IF(AM$15&gt;$B$9,0,IF((YEAR($B$8)-YEAR($B$7))*12+(MONTH($B$8)-MONTH($B$7))+$E$14&lt;=AL$14,$C58))))*HLOOKUP(YEAR(AM$16),$E$3:$O$5,3,0)))</f>
        <v>0</v>
      </c>
      <c r="AN58" s="1">
        <f t="shared" si="350"/>
        <v>0</v>
      </c>
      <c r="AO58" s="1">
        <f t="shared" si="350"/>
        <v>0</v>
      </c>
      <c r="AP58" s="1">
        <f t="shared" si="350"/>
        <v>0</v>
      </c>
      <c r="AQ58" s="1">
        <f t="shared" si="350"/>
        <v>0</v>
      </c>
      <c r="AR58" s="1">
        <f t="shared" si="350"/>
        <v>0</v>
      </c>
      <c r="AS58" s="1">
        <f t="shared" si="350"/>
        <v>0</v>
      </c>
      <c r="AT58" s="1">
        <f t="shared" si="350"/>
        <v>0</v>
      </c>
      <c r="AU58" s="1">
        <f t="shared" si="350"/>
        <v>0</v>
      </c>
      <c r="AV58" s="1">
        <f t="shared" si="350"/>
        <v>0</v>
      </c>
      <c r="AW58" s="1">
        <f t="shared" si="350"/>
        <v>0</v>
      </c>
      <c r="AX58" s="1">
        <f t="shared" si="350"/>
        <v>0</v>
      </c>
      <c r="AY58" s="1">
        <f t="shared" si="350"/>
        <v>0</v>
      </c>
      <c r="AZ58" s="1">
        <f t="shared" si="350"/>
        <v>0</v>
      </c>
      <c r="BA58" s="1">
        <f t="shared" si="350"/>
        <v>0</v>
      </c>
      <c r="BB58" s="1">
        <f t="shared" si="350"/>
        <v>0</v>
      </c>
      <c r="BC58" s="1">
        <f t="shared" si="350"/>
        <v>0</v>
      </c>
      <c r="BD58" s="1">
        <f t="shared" si="350"/>
        <v>0</v>
      </c>
      <c r="BE58" s="1">
        <f t="shared" si="350"/>
        <v>0</v>
      </c>
      <c r="BF58" s="1">
        <f t="shared" si="350"/>
        <v>0</v>
      </c>
      <c r="BG58" s="1">
        <f t="shared" si="350"/>
        <v>0</v>
      </c>
      <c r="BH58" s="1">
        <f t="shared" si="350"/>
        <v>0</v>
      </c>
      <c r="BI58" s="1">
        <f t="shared" si="350"/>
        <v>0</v>
      </c>
      <c r="BJ58" s="1">
        <f t="shared" si="350"/>
        <v>0</v>
      </c>
      <c r="BK58" s="1">
        <f t="shared" si="350"/>
        <v>0</v>
      </c>
      <c r="BL58" s="1">
        <f t="shared" si="350"/>
        <v>0</v>
      </c>
      <c r="BM58" s="1">
        <f t="shared" si="350"/>
        <v>0</v>
      </c>
      <c r="BN58" s="1">
        <f t="shared" si="350"/>
        <v>0</v>
      </c>
      <c r="BO58" s="1">
        <f t="shared" si="350"/>
        <v>0</v>
      </c>
      <c r="BP58" s="1">
        <f t="shared" si="350"/>
        <v>0</v>
      </c>
      <c r="BQ58" s="1">
        <f t="shared" si="350"/>
        <v>0</v>
      </c>
      <c r="BR58" s="1">
        <f t="shared" si="350"/>
        <v>0</v>
      </c>
      <c r="BS58" s="1">
        <f t="shared" ref="BS58:CX58" si="351">+(IF($A58="","",IF($D58&gt;MONTH(BS$16)-MONTH(InicioFuncion)+12*(YEAR(BS$16)-YEAR(InicioFuncion))+1,0,IF($E58&lt;=(MONTH(BS$16)-MONTH(InicioFuncion)+12*(YEAR(BS$16)-YEAR(InicioFuncion)))-$D58,0,IF(BS$15&gt;$B$9,0,IF((YEAR($B$8)-YEAR($B$7))*12+(MONTH($B$8)-MONTH($B$7))+$E$14&lt;=BR$14,$C58))))*HLOOKUP(YEAR(BS$16),$E$3:$O$5,3,0)))</f>
        <v>0</v>
      </c>
      <c r="BT58" s="1">
        <f t="shared" si="351"/>
        <v>0</v>
      </c>
      <c r="BU58" s="1">
        <f t="shared" si="351"/>
        <v>0</v>
      </c>
      <c r="BV58" s="1">
        <f t="shared" si="351"/>
        <v>0</v>
      </c>
      <c r="BW58" s="1">
        <f t="shared" si="351"/>
        <v>0</v>
      </c>
      <c r="BX58" s="1">
        <f t="shared" si="351"/>
        <v>0</v>
      </c>
      <c r="BY58" s="1">
        <f t="shared" si="351"/>
        <v>0</v>
      </c>
      <c r="BZ58" s="1">
        <f t="shared" si="351"/>
        <v>0</v>
      </c>
      <c r="CA58" s="1">
        <f t="shared" si="351"/>
        <v>0</v>
      </c>
      <c r="CB58" s="1">
        <f t="shared" si="351"/>
        <v>0</v>
      </c>
      <c r="CC58" s="1">
        <f t="shared" si="351"/>
        <v>0</v>
      </c>
      <c r="CD58" s="1">
        <f t="shared" si="351"/>
        <v>0</v>
      </c>
      <c r="CE58" s="1">
        <f t="shared" si="351"/>
        <v>0</v>
      </c>
      <c r="CF58" s="1">
        <f t="shared" si="351"/>
        <v>0</v>
      </c>
      <c r="CG58" s="1">
        <f t="shared" si="351"/>
        <v>0</v>
      </c>
      <c r="CH58" s="1">
        <f t="shared" si="351"/>
        <v>0</v>
      </c>
      <c r="CI58" s="1">
        <f t="shared" si="351"/>
        <v>0</v>
      </c>
      <c r="CJ58" s="1">
        <f t="shared" si="351"/>
        <v>0</v>
      </c>
      <c r="CK58" s="1">
        <f t="shared" si="351"/>
        <v>0</v>
      </c>
      <c r="CL58" s="1">
        <f t="shared" si="351"/>
        <v>0</v>
      </c>
      <c r="CM58" s="1">
        <f t="shared" si="351"/>
        <v>0</v>
      </c>
      <c r="CN58" s="1">
        <f t="shared" si="351"/>
        <v>0</v>
      </c>
      <c r="CO58" s="1">
        <f t="shared" si="351"/>
        <v>0</v>
      </c>
      <c r="CP58" s="1">
        <f t="shared" si="351"/>
        <v>0</v>
      </c>
      <c r="CQ58" s="1">
        <f t="shared" si="351"/>
        <v>0</v>
      </c>
      <c r="CR58" s="1">
        <f t="shared" si="351"/>
        <v>0</v>
      </c>
      <c r="CS58" s="1">
        <f t="shared" si="351"/>
        <v>0</v>
      </c>
      <c r="CT58" s="1">
        <f t="shared" si="351"/>
        <v>0</v>
      </c>
      <c r="CU58" s="1">
        <f t="shared" si="351"/>
        <v>0</v>
      </c>
      <c r="CV58" s="1">
        <f t="shared" si="351"/>
        <v>0</v>
      </c>
      <c r="CW58" s="1">
        <f t="shared" si="351"/>
        <v>0</v>
      </c>
      <c r="CX58" s="1">
        <f t="shared" si="351"/>
        <v>0</v>
      </c>
      <c r="CY58" s="1">
        <f t="shared" ref="CY58:DV58" si="352">+(IF($A58="","",IF($D58&gt;MONTH(CY$16)-MONTH(InicioFuncion)+12*(YEAR(CY$16)-YEAR(InicioFuncion))+1,0,IF($E58&lt;=(MONTH(CY$16)-MONTH(InicioFuncion)+12*(YEAR(CY$16)-YEAR(InicioFuncion)))-$D58,0,IF(CY$15&gt;$B$9,0,IF((YEAR($B$8)-YEAR($B$7))*12+(MONTH($B$8)-MONTH($B$7))+$E$14&lt;=CX$14,$C58))))*HLOOKUP(YEAR(CY$16),$E$3:$O$5,3,0)))</f>
        <v>0</v>
      </c>
      <c r="CZ58" s="1">
        <f t="shared" si="352"/>
        <v>0</v>
      </c>
      <c r="DA58" s="1">
        <f t="shared" si="352"/>
        <v>0</v>
      </c>
      <c r="DB58" s="1">
        <f t="shared" si="352"/>
        <v>0</v>
      </c>
      <c r="DC58" s="1">
        <f t="shared" si="352"/>
        <v>0</v>
      </c>
      <c r="DD58" s="1">
        <f t="shared" si="352"/>
        <v>0</v>
      </c>
      <c r="DE58" s="1">
        <f t="shared" si="352"/>
        <v>0</v>
      </c>
      <c r="DF58" s="1">
        <f t="shared" si="352"/>
        <v>0</v>
      </c>
      <c r="DG58" s="1">
        <f t="shared" si="352"/>
        <v>0</v>
      </c>
      <c r="DH58" s="1">
        <f t="shared" si="352"/>
        <v>0</v>
      </c>
      <c r="DI58" s="1">
        <f t="shared" si="352"/>
        <v>0</v>
      </c>
      <c r="DJ58" s="1">
        <f t="shared" si="352"/>
        <v>0</v>
      </c>
      <c r="DK58" s="1">
        <f t="shared" si="352"/>
        <v>0</v>
      </c>
      <c r="DL58" s="1">
        <f t="shared" si="352"/>
        <v>0</v>
      </c>
      <c r="DM58" s="1">
        <f t="shared" si="352"/>
        <v>0</v>
      </c>
      <c r="DN58" s="1">
        <f t="shared" si="352"/>
        <v>0</v>
      </c>
      <c r="DO58" s="1">
        <f t="shared" si="352"/>
        <v>0</v>
      </c>
      <c r="DP58" s="1">
        <f t="shared" si="352"/>
        <v>0</v>
      </c>
      <c r="DQ58" s="1">
        <f t="shared" si="352"/>
        <v>0</v>
      </c>
      <c r="DR58" s="1">
        <f t="shared" si="352"/>
        <v>0</v>
      </c>
      <c r="DS58" s="1">
        <f t="shared" si="352"/>
        <v>0</v>
      </c>
      <c r="DT58" s="1">
        <f t="shared" si="352"/>
        <v>0</v>
      </c>
      <c r="DU58" s="1">
        <f t="shared" si="352"/>
        <v>0</v>
      </c>
      <c r="DV58" s="1">
        <f t="shared" si="352"/>
        <v>0</v>
      </c>
    </row>
    <row r="59" spans="1:126" x14ac:dyDescent="0.25">
      <c r="A59" s="26" t="str">
        <f>"Terreno "&amp;Tipo_Terreno&amp;" - "&amp;"Trasiegos"</f>
        <v>Terreno Plano - Trasiegos</v>
      </c>
      <c r="B59" s="36">
        <f>+IF(Tipologia_Campo="FTTH",0,SUMIFS(ValoresMercado,Conceptos,A59,Relacion,DistanciaEnergiaSTD,Tipo,TipoEspecifico,Terreno_Energia,Tipo_Terreno,KW_Energia,KW_EnergiaValor))</f>
        <v>1079896.6666666656</v>
      </c>
      <c r="C59" s="26"/>
      <c r="D59" s="35"/>
      <c r="E59" s="35">
        <f t="shared" si="37"/>
        <v>56</v>
      </c>
      <c r="F59" s="1">
        <f t="shared" ref="F59:BQ61" si="353">+IF($A59="","",IF($D59=F$15,$B59+IF(MONTH($B$8)-MONTH($B$7)+$E$14=E$14,$C59,0),0))</f>
        <v>1079896.6666666656</v>
      </c>
      <c r="G59" s="1">
        <f t="shared" si="353"/>
        <v>0</v>
      </c>
      <c r="H59" s="1">
        <f t="shared" si="353"/>
        <v>0</v>
      </c>
      <c r="I59" s="1">
        <f t="shared" si="353"/>
        <v>0</v>
      </c>
      <c r="J59" s="1">
        <f t="shared" si="353"/>
        <v>0</v>
      </c>
      <c r="K59" s="1">
        <f t="shared" si="353"/>
        <v>0</v>
      </c>
      <c r="L59" s="1">
        <f t="shared" si="353"/>
        <v>0</v>
      </c>
      <c r="M59" s="1">
        <f t="shared" si="353"/>
        <v>0</v>
      </c>
      <c r="N59" s="1">
        <f t="shared" si="353"/>
        <v>0</v>
      </c>
      <c r="O59" s="1">
        <f t="shared" si="353"/>
        <v>0</v>
      </c>
      <c r="P59" s="1">
        <f t="shared" si="353"/>
        <v>0</v>
      </c>
      <c r="Q59" s="1">
        <f t="shared" si="353"/>
        <v>0</v>
      </c>
      <c r="R59" s="1">
        <f t="shared" si="353"/>
        <v>0</v>
      </c>
      <c r="S59" s="1">
        <f t="shared" si="353"/>
        <v>0</v>
      </c>
      <c r="T59" s="1">
        <f t="shared" si="353"/>
        <v>0</v>
      </c>
      <c r="U59" s="1">
        <f t="shared" si="353"/>
        <v>0</v>
      </c>
      <c r="V59" s="1">
        <f t="shared" si="353"/>
        <v>0</v>
      </c>
      <c r="W59" s="1">
        <f t="shared" si="353"/>
        <v>0</v>
      </c>
      <c r="X59" s="1">
        <f t="shared" si="353"/>
        <v>0</v>
      </c>
      <c r="Y59" s="1">
        <f t="shared" si="353"/>
        <v>0</v>
      </c>
      <c r="Z59" s="1">
        <f t="shared" si="353"/>
        <v>0</v>
      </c>
      <c r="AA59" s="1">
        <f t="shared" si="353"/>
        <v>0</v>
      </c>
      <c r="AB59" s="1">
        <f t="shared" si="353"/>
        <v>0</v>
      </c>
      <c r="AC59" s="1">
        <f t="shared" si="353"/>
        <v>0</v>
      </c>
      <c r="AD59" s="1">
        <f t="shared" si="353"/>
        <v>0</v>
      </c>
      <c r="AE59" s="1">
        <f t="shared" si="353"/>
        <v>0</v>
      </c>
      <c r="AF59" s="1">
        <f t="shared" si="353"/>
        <v>0</v>
      </c>
      <c r="AG59" s="1">
        <f t="shared" si="353"/>
        <v>0</v>
      </c>
      <c r="AH59" s="1">
        <f t="shared" si="353"/>
        <v>0</v>
      </c>
      <c r="AI59" s="1">
        <f t="shared" si="353"/>
        <v>0</v>
      </c>
      <c r="AJ59" s="1">
        <f t="shared" si="353"/>
        <v>0</v>
      </c>
      <c r="AK59" s="1">
        <f t="shared" si="353"/>
        <v>0</v>
      </c>
      <c r="AL59" s="1">
        <f t="shared" si="353"/>
        <v>0</v>
      </c>
      <c r="AM59" s="1">
        <f t="shared" si="353"/>
        <v>0</v>
      </c>
      <c r="AN59" s="1">
        <f t="shared" si="353"/>
        <v>0</v>
      </c>
      <c r="AO59" s="1">
        <f t="shared" si="353"/>
        <v>0</v>
      </c>
      <c r="AP59" s="1">
        <f t="shared" si="353"/>
        <v>0</v>
      </c>
      <c r="AQ59" s="1">
        <f t="shared" si="353"/>
        <v>0</v>
      </c>
      <c r="AR59" s="1">
        <f t="shared" si="353"/>
        <v>0</v>
      </c>
      <c r="AS59" s="1">
        <f t="shared" si="353"/>
        <v>0</v>
      </c>
      <c r="AT59" s="1">
        <f t="shared" si="353"/>
        <v>0</v>
      </c>
      <c r="AU59" s="1">
        <f t="shared" si="353"/>
        <v>0</v>
      </c>
      <c r="AV59" s="1">
        <f t="shared" si="353"/>
        <v>0</v>
      </c>
      <c r="AW59" s="1">
        <f t="shared" si="353"/>
        <v>0</v>
      </c>
      <c r="AX59" s="1">
        <f t="shared" si="353"/>
        <v>0</v>
      </c>
      <c r="AY59" s="1">
        <f t="shared" si="353"/>
        <v>0</v>
      </c>
      <c r="AZ59" s="1">
        <f t="shared" si="353"/>
        <v>0</v>
      </c>
      <c r="BA59" s="1">
        <f t="shared" si="353"/>
        <v>0</v>
      </c>
      <c r="BB59" s="1">
        <f t="shared" si="353"/>
        <v>0</v>
      </c>
      <c r="BC59" s="1">
        <f t="shared" si="353"/>
        <v>0</v>
      </c>
      <c r="BD59" s="1">
        <f t="shared" si="353"/>
        <v>0</v>
      </c>
      <c r="BE59" s="1">
        <f t="shared" si="353"/>
        <v>0</v>
      </c>
      <c r="BF59" s="1">
        <f t="shared" si="353"/>
        <v>0</v>
      </c>
      <c r="BG59" s="1">
        <f t="shared" si="353"/>
        <v>0</v>
      </c>
      <c r="BH59" s="1">
        <f t="shared" si="353"/>
        <v>0</v>
      </c>
      <c r="BI59" s="1">
        <f t="shared" si="353"/>
        <v>0</v>
      </c>
      <c r="BJ59" s="1">
        <f t="shared" si="353"/>
        <v>0</v>
      </c>
      <c r="BK59" s="1">
        <f t="shared" si="353"/>
        <v>0</v>
      </c>
      <c r="BL59" s="1">
        <f t="shared" si="353"/>
        <v>0</v>
      </c>
      <c r="BM59" s="1">
        <f t="shared" si="353"/>
        <v>0</v>
      </c>
      <c r="BN59" s="1">
        <f t="shared" si="353"/>
        <v>0</v>
      </c>
      <c r="BO59" s="1">
        <f t="shared" si="353"/>
        <v>0</v>
      </c>
      <c r="BP59" s="1">
        <f t="shared" si="353"/>
        <v>0</v>
      </c>
      <c r="BQ59" s="1">
        <f t="shared" si="353"/>
        <v>0</v>
      </c>
      <c r="BR59" s="1">
        <f t="shared" ref="BR59:DV61" si="354">+IF($A59="","",IF($D59=BR$15,$B59+IF(MONTH($B$8)-MONTH($B$7)+$E$14=BQ$14,$C59,0),0))</f>
        <v>0</v>
      </c>
      <c r="BS59" s="1">
        <f t="shared" si="354"/>
        <v>0</v>
      </c>
      <c r="BT59" s="1">
        <f t="shared" si="354"/>
        <v>0</v>
      </c>
      <c r="BU59" s="1">
        <f t="shared" si="354"/>
        <v>0</v>
      </c>
      <c r="BV59" s="1">
        <f t="shared" si="354"/>
        <v>0</v>
      </c>
      <c r="BW59" s="1">
        <f t="shared" si="354"/>
        <v>0</v>
      </c>
      <c r="BX59" s="1">
        <f t="shared" si="354"/>
        <v>0</v>
      </c>
      <c r="BY59" s="1">
        <f t="shared" si="354"/>
        <v>0</v>
      </c>
      <c r="BZ59" s="1">
        <f t="shared" si="354"/>
        <v>0</v>
      </c>
      <c r="CA59" s="1">
        <f t="shared" si="354"/>
        <v>0</v>
      </c>
      <c r="CB59" s="1">
        <f t="shared" si="354"/>
        <v>0</v>
      </c>
      <c r="CC59" s="1">
        <f t="shared" si="354"/>
        <v>0</v>
      </c>
      <c r="CD59" s="1">
        <f t="shared" si="354"/>
        <v>0</v>
      </c>
      <c r="CE59" s="1">
        <f t="shared" si="354"/>
        <v>0</v>
      </c>
      <c r="CF59" s="1">
        <f t="shared" si="354"/>
        <v>0</v>
      </c>
      <c r="CG59" s="1">
        <f t="shared" si="354"/>
        <v>0</v>
      </c>
      <c r="CH59" s="1">
        <f t="shared" si="354"/>
        <v>0</v>
      </c>
      <c r="CI59" s="1">
        <f t="shared" si="354"/>
        <v>0</v>
      </c>
      <c r="CJ59" s="1">
        <f t="shared" si="354"/>
        <v>0</v>
      </c>
      <c r="CK59" s="1">
        <f t="shared" si="354"/>
        <v>0</v>
      </c>
      <c r="CL59" s="1">
        <f t="shared" si="354"/>
        <v>0</v>
      </c>
      <c r="CM59" s="1">
        <f t="shared" si="354"/>
        <v>0</v>
      </c>
      <c r="CN59" s="1">
        <f t="shared" si="354"/>
        <v>0</v>
      </c>
      <c r="CO59" s="1">
        <f t="shared" si="354"/>
        <v>0</v>
      </c>
      <c r="CP59" s="1">
        <f t="shared" si="354"/>
        <v>0</v>
      </c>
      <c r="CQ59" s="1">
        <f t="shared" si="354"/>
        <v>0</v>
      </c>
      <c r="CR59" s="1">
        <f t="shared" si="354"/>
        <v>0</v>
      </c>
      <c r="CS59" s="1">
        <f t="shared" si="354"/>
        <v>0</v>
      </c>
      <c r="CT59" s="1">
        <f t="shared" si="354"/>
        <v>0</v>
      </c>
      <c r="CU59" s="1">
        <f t="shared" si="354"/>
        <v>0</v>
      </c>
      <c r="CV59" s="1">
        <f t="shared" si="354"/>
        <v>0</v>
      </c>
      <c r="CW59" s="1">
        <f t="shared" si="354"/>
        <v>0</v>
      </c>
      <c r="CX59" s="1">
        <f t="shared" si="354"/>
        <v>0</v>
      </c>
      <c r="CY59" s="1">
        <f t="shared" si="354"/>
        <v>0</v>
      </c>
      <c r="CZ59" s="1">
        <f t="shared" si="354"/>
        <v>0</v>
      </c>
      <c r="DA59" s="1">
        <f t="shared" si="354"/>
        <v>0</v>
      </c>
      <c r="DB59" s="1">
        <f t="shared" si="354"/>
        <v>0</v>
      </c>
      <c r="DC59" s="1">
        <f t="shared" si="354"/>
        <v>0</v>
      </c>
      <c r="DD59" s="1">
        <f t="shared" si="354"/>
        <v>0</v>
      </c>
      <c r="DE59" s="1">
        <f t="shared" si="354"/>
        <v>0</v>
      </c>
      <c r="DF59" s="1">
        <f t="shared" si="354"/>
        <v>0</v>
      </c>
      <c r="DG59" s="1">
        <f t="shared" si="354"/>
        <v>0</v>
      </c>
      <c r="DH59" s="1">
        <f t="shared" si="354"/>
        <v>0</v>
      </c>
      <c r="DI59" s="1">
        <f t="shared" si="354"/>
        <v>0</v>
      </c>
      <c r="DJ59" s="1">
        <f t="shared" si="354"/>
        <v>0</v>
      </c>
      <c r="DK59" s="1">
        <f t="shared" si="354"/>
        <v>0</v>
      </c>
      <c r="DL59" s="1">
        <f t="shared" si="354"/>
        <v>0</v>
      </c>
      <c r="DM59" s="1">
        <f t="shared" si="354"/>
        <v>0</v>
      </c>
      <c r="DN59" s="1">
        <f t="shared" si="354"/>
        <v>0</v>
      </c>
      <c r="DO59" s="1">
        <f t="shared" si="354"/>
        <v>0</v>
      </c>
      <c r="DP59" s="1">
        <f t="shared" si="354"/>
        <v>0</v>
      </c>
      <c r="DQ59" s="1">
        <f t="shared" si="354"/>
        <v>0</v>
      </c>
      <c r="DR59" s="1">
        <f t="shared" si="354"/>
        <v>0</v>
      </c>
      <c r="DS59" s="1">
        <f t="shared" si="354"/>
        <v>0</v>
      </c>
      <c r="DT59" s="1">
        <f t="shared" si="354"/>
        <v>0</v>
      </c>
      <c r="DU59" s="1">
        <f t="shared" si="354"/>
        <v>0</v>
      </c>
      <c r="DV59" s="1">
        <f t="shared" si="354"/>
        <v>0</v>
      </c>
    </row>
    <row r="60" spans="1:126" x14ac:dyDescent="0.25">
      <c r="A60" s="26" t="str">
        <f>"Terreno "&amp;Tipo_Terreno&amp;" - "&amp;"Cableados Mt"</f>
        <v>Terreno Plano - Cableados Mt</v>
      </c>
      <c r="B60" s="36">
        <f>+IF(Tipologia_Campo="FTTH",0,SUMIFS(ValoresMercado,Conceptos,A60,Relacion,DistanciaEnergiaSTD,Tipo,TipoEspecifico,Terreno_Energia,Tipo_Terreno,KW_Energia,KW_EnergiaValor))</f>
        <v>9319531.0633333344</v>
      </c>
      <c r="C60" s="26"/>
      <c r="D60" s="35"/>
      <c r="E60" s="35">
        <f t="shared" si="37"/>
        <v>56</v>
      </c>
      <c r="F60" s="1">
        <f t="shared" ref="F60:F61" si="355">+IF($A60="","",IF($D60=F$15,$B60+IF(MONTH($B$8)-MONTH($B$7)+$E$14=E$14,$C60,0),0))</f>
        <v>9319531.0633333344</v>
      </c>
      <c r="G60" s="1">
        <f t="shared" si="353"/>
        <v>0</v>
      </c>
      <c r="H60" s="1">
        <f t="shared" si="353"/>
        <v>0</v>
      </c>
      <c r="I60" s="1">
        <f t="shared" si="353"/>
        <v>0</v>
      </c>
      <c r="J60" s="1">
        <f t="shared" si="353"/>
        <v>0</v>
      </c>
      <c r="K60" s="1">
        <f t="shared" si="353"/>
        <v>0</v>
      </c>
      <c r="L60" s="1">
        <f t="shared" si="353"/>
        <v>0</v>
      </c>
      <c r="M60" s="1">
        <f t="shared" si="353"/>
        <v>0</v>
      </c>
      <c r="N60" s="1">
        <f t="shared" si="353"/>
        <v>0</v>
      </c>
      <c r="O60" s="1">
        <f t="shared" si="353"/>
        <v>0</v>
      </c>
      <c r="P60" s="1">
        <f t="shared" si="353"/>
        <v>0</v>
      </c>
      <c r="Q60" s="1">
        <f t="shared" si="353"/>
        <v>0</v>
      </c>
      <c r="R60" s="1">
        <f t="shared" si="353"/>
        <v>0</v>
      </c>
      <c r="S60" s="1">
        <f t="shared" si="353"/>
        <v>0</v>
      </c>
      <c r="T60" s="1">
        <f t="shared" si="353"/>
        <v>0</v>
      </c>
      <c r="U60" s="1">
        <f t="shared" si="353"/>
        <v>0</v>
      </c>
      <c r="V60" s="1">
        <f t="shared" si="353"/>
        <v>0</v>
      </c>
      <c r="W60" s="1">
        <f t="shared" si="353"/>
        <v>0</v>
      </c>
      <c r="X60" s="1">
        <f t="shared" si="353"/>
        <v>0</v>
      </c>
      <c r="Y60" s="1">
        <f t="shared" si="353"/>
        <v>0</v>
      </c>
      <c r="Z60" s="1">
        <f t="shared" si="353"/>
        <v>0</v>
      </c>
      <c r="AA60" s="1">
        <f t="shared" si="353"/>
        <v>0</v>
      </c>
      <c r="AB60" s="1">
        <f t="shared" si="353"/>
        <v>0</v>
      </c>
      <c r="AC60" s="1">
        <f t="shared" si="353"/>
        <v>0</v>
      </c>
      <c r="AD60" s="1">
        <f t="shared" si="353"/>
        <v>0</v>
      </c>
      <c r="AE60" s="1">
        <f t="shared" si="353"/>
        <v>0</v>
      </c>
      <c r="AF60" s="1">
        <f t="shared" si="353"/>
        <v>0</v>
      </c>
      <c r="AG60" s="1">
        <f t="shared" si="353"/>
        <v>0</v>
      </c>
      <c r="AH60" s="1">
        <f t="shared" si="353"/>
        <v>0</v>
      </c>
      <c r="AI60" s="1">
        <f t="shared" si="353"/>
        <v>0</v>
      </c>
      <c r="AJ60" s="1">
        <f t="shared" si="353"/>
        <v>0</v>
      </c>
      <c r="AK60" s="1">
        <f t="shared" si="353"/>
        <v>0</v>
      </c>
      <c r="AL60" s="1">
        <f t="shared" si="353"/>
        <v>0</v>
      </c>
      <c r="AM60" s="1">
        <f t="shared" si="353"/>
        <v>0</v>
      </c>
      <c r="AN60" s="1">
        <f t="shared" si="353"/>
        <v>0</v>
      </c>
      <c r="AO60" s="1">
        <f t="shared" si="353"/>
        <v>0</v>
      </c>
      <c r="AP60" s="1">
        <f t="shared" si="353"/>
        <v>0</v>
      </c>
      <c r="AQ60" s="1">
        <f t="shared" si="353"/>
        <v>0</v>
      </c>
      <c r="AR60" s="1">
        <f t="shared" si="353"/>
        <v>0</v>
      </c>
      <c r="AS60" s="1">
        <f t="shared" si="353"/>
        <v>0</v>
      </c>
      <c r="AT60" s="1">
        <f t="shared" si="353"/>
        <v>0</v>
      </c>
      <c r="AU60" s="1">
        <f t="shared" si="353"/>
        <v>0</v>
      </c>
      <c r="AV60" s="1">
        <f t="shared" si="353"/>
        <v>0</v>
      </c>
      <c r="AW60" s="1">
        <f t="shared" si="353"/>
        <v>0</v>
      </c>
      <c r="AX60" s="1">
        <f t="shared" si="353"/>
        <v>0</v>
      </c>
      <c r="AY60" s="1">
        <f t="shared" si="353"/>
        <v>0</v>
      </c>
      <c r="AZ60" s="1">
        <f t="shared" si="353"/>
        <v>0</v>
      </c>
      <c r="BA60" s="1">
        <f t="shared" si="353"/>
        <v>0</v>
      </c>
      <c r="BB60" s="1">
        <f t="shared" si="353"/>
        <v>0</v>
      </c>
      <c r="BC60" s="1">
        <f t="shared" si="353"/>
        <v>0</v>
      </c>
      <c r="BD60" s="1">
        <f t="shared" si="353"/>
        <v>0</v>
      </c>
      <c r="BE60" s="1">
        <f t="shared" si="353"/>
        <v>0</v>
      </c>
      <c r="BF60" s="1">
        <f t="shared" si="353"/>
        <v>0</v>
      </c>
      <c r="BG60" s="1">
        <f t="shared" si="353"/>
        <v>0</v>
      </c>
      <c r="BH60" s="1">
        <f t="shared" si="353"/>
        <v>0</v>
      </c>
      <c r="BI60" s="1">
        <f t="shared" si="353"/>
        <v>0</v>
      </c>
      <c r="BJ60" s="1">
        <f t="shared" si="353"/>
        <v>0</v>
      </c>
      <c r="BK60" s="1">
        <f t="shared" si="353"/>
        <v>0</v>
      </c>
      <c r="BL60" s="1">
        <f t="shared" si="353"/>
        <v>0</v>
      </c>
      <c r="BM60" s="1">
        <f t="shared" si="353"/>
        <v>0</v>
      </c>
      <c r="BN60" s="1">
        <f t="shared" si="353"/>
        <v>0</v>
      </c>
      <c r="BO60" s="1">
        <f t="shared" si="353"/>
        <v>0</v>
      </c>
      <c r="BP60" s="1">
        <f t="shared" si="353"/>
        <v>0</v>
      </c>
      <c r="BQ60" s="1">
        <f t="shared" si="353"/>
        <v>0</v>
      </c>
      <c r="BR60" s="1">
        <f t="shared" si="354"/>
        <v>0</v>
      </c>
      <c r="BS60" s="1">
        <f t="shared" si="354"/>
        <v>0</v>
      </c>
      <c r="BT60" s="1">
        <f t="shared" si="354"/>
        <v>0</v>
      </c>
      <c r="BU60" s="1">
        <f t="shared" si="354"/>
        <v>0</v>
      </c>
      <c r="BV60" s="1">
        <f t="shared" si="354"/>
        <v>0</v>
      </c>
      <c r="BW60" s="1">
        <f t="shared" si="354"/>
        <v>0</v>
      </c>
      <c r="BX60" s="1">
        <f t="shared" si="354"/>
        <v>0</v>
      </c>
      <c r="BY60" s="1">
        <f t="shared" si="354"/>
        <v>0</v>
      </c>
      <c r="BZ60" s="1">
        <f t="shared" si="354"/>
        <v>0</v>
      </c>
      <c r="CA60" s="1">
        <f t="shared" si="354"/>
        <v>0</v>
      </c>
      <c r="CB60" s="1">
        <f t="shared" si="354"/>
        <v>0</v>
      </c>
      <c r="CC60" s="1">
        <f t="shared" si="354"/>
        <v>0</v>
      </c>
      <c r="CD60" s="1">
        <f t="shared" si="354"/>
        <v>0</v>
      </c>
      <c r="CE60" s="1">
        <f t="shared" si="354"/>
        <v>0</v>
      </c>
      <c r="CF60" s="1">
        <f t="shared" si="354"/>
        <v>0</v>
      </c>
      <c r="CG60" s="1">
        <f t="shared" si="354"/>
        <v>0</v>
      </c>
      <c r="CH60" s="1">
        <f t="shared" si="354"/>
        <v>0</v>
      </c>
      <c r="CI60" s="1">
        <f t="shared" si="354"/>
        <v>0</v>
      </c>
      <c r="CJ60" s="1">
        <f t="shared" si="354"/>
        <v>0</v>
      </c>
      <c r="CK60" s="1">
        <f t="shared" si="354"/>
        <v>0</v>
      </c>
      <c r="CL60" s="1">
        <f t="shared" si="354"/>
        <v>0</v>
      </c>
      <c r="CM60" s="1">
        <f t="shared" si="354"/>
        <v>0</v>
      </c>
      <c r="CN60" s="1">
        <f t="shared" si="354"/>
        <v>0</v>
      </c>
      <c r="CO60" s="1">
        <f t="shared" si="354"/>
        <v>0</v>
      </c>
      <c r="CP60" s="1">
        <f t="shared" si="354"/>
        <v>0</v>
      </c>
      <c r="CQ60" s="1">
        <f t="shared" si="354"/>
        <v>0</v>
      </c>
      <c r="CR60" s="1">
        <f t="shared" si="354"/>
        <v>0</v>
      </c>
      <c r="CS60" s="1">
        <f t="shared" si="354"/>
        <v>0</v>
      </c>
      <c r="CT60" s="1">
        <f t="shared" si="354"/>
        <v>0</v>
      </c>
      <c r="CU60" s="1">
        <f t="shared" si="354"/>
        <v>0</v>
      </c>
      <c r="CV60" s="1">
        <f t="shared" si="354"/>
        <v>0</v>
      </c>
      <c r="CW60" s="1">
        <f t="shared" si="354"/>
        <v>0</v>
      </c>
      <c r="CX60" s="1">
        <f t="shared" si="354"/>
        <v>0</v>
      </c>
      <c r="CY60" s="1">
        <f t="shared" si="354"/>
        <v>0</v>
      </c>
      <c r="CZ60" s="1">
        <f t="shared" si="354"/>
        <v>0</v>
      </c>
      <c r="DA60" s="1">
        <f t="shared" si="354"/>
        <v>0</v>
      </c>
      <c r="DB60" s="1">
        <f t="shared" si="354"/>
        <v>0</v>
      </c>
      <c r="DC60" s="1">
        <f t="shared" si="354"/>
        <v>0</v>
      </c>
      <c r="DD60" s="1">
        <f t="shared" si="354"/>
        <v>0</v>
      </c>
      <c r="DE60" s="1">
        <f t="shared" si="354"/>
        <v>0</v>
      </c>
      <c r="DF60" s="1">
        <f t="shared" si="354"/>
        <v>0</v>
      </c>
      <c r="DG60" s="1">
        <f t="shared" si="354"/>
        <v>0</v>
      </c>
      <c r="DH60" s="1">
        <f t="shared" si="354"/>
        <v>0</v>
      </c>
      <c r="DI60" s="1">
        <f t="shared" si="354"/>
        <v>0</v>
      </c>
      <c r="DJ60" s="1">
        <f t="shared" si="354"/>
        <v>0</v>
      </c>
      <c r="DK60" s="1">
        <f t="shared" si="354"/>
        <v>0</v>
      </c>
      <c r="DL60" s="1">
        <f t="shared" si="354"/>
        <v>0</v>
      </c>
      <c r="DM60" s="1">
        <f t="shared" si="354"/>
        <v>0</v>
      </c>
      <c r="DN60" s="1">
        <f t="shared" si="354"/>
        <v>0</v>
      </c>
      <c r="DO60" s="1">
        <f t="shared" si="354"/>
        <v>0</v>
      </c>
      <c r="DP60" s="1">
        <f t="shared" si="354"/>
        <v>0</v>
      </c>
      <c r="DQ60" s="1">
        <f t="shared" si="354"/>
        <v>0</v>
      </c>
      <c r="DR60" s="1">
        <f t="shared" si="354"/>
        <v>0</v>
      </c>
      <c r="DS60" s="1">
        <f t="shared" si="354"/>
        <v>0</v>
      </c>
      <c r="DT60" s="1">
        <f t="shared" si="354"/>
        <v>0</v>
      </c>
      <c r="DU60" s="1">
        <f t="shared" si="354"/>
        <v>0</v>
      </c>
      <c r="DV60" s="1">
        <f t="shared" si="354"/>
        <v>0</v>
      </c>
    </row>
    <row r="61" spans="1:126" x14ac:dyDescent="0.25">
      <c r="A61" s="26" t="str">
        <f>+"Terreno "&amp;Tipo_Terreno&amp;" - "&amp;"Diseños, Planos"</f>
        <v>Terreno Plano - Diseños, Planos</v>
      </c>
      <c r="B61" s="36">
        <f>+IF(Tipologia_Campo="FTTH",0,SUMIFS(ValoresMercado,Conceptos,A61,Relacion,DistanciaEnergiaSTD,Tipo,TipoEspecifico,Terreno_Energia,Tipo_Terreno,KW_Energia,KW_EnergiaValor))</f>
        <v>2218858.4419999998</v>
      </c>
      <c r="C61" s="26"/>
      <c r="D61" s="35"/>
      <c r="E61" s="35">
        <f t="shared" si="37"/>
        <v>56</v>
      </c>
      <c r="F61" s="1">
        <f t="shared" si="355"/>
        <v>2218858.4419999998</v>
      </c>
      <c r="G61" s="1">
        <f t="shared" si="353"/>
        <v>0</v>
      </c>
      <c r="H61" s="1">
        <f t="shared" si="353"/>
        <v>0</v>
      </c>
      <c r="I61" s="1">
        <f t="shared" si="353"/>
        <v>0</v>
      </c>
      <c r="J61" s="1">
        <f t="shared" si="353"/>
        <v>0</v>
      </c>
      <c r="K61" s="1">
        <f t="shared" si="353"/>
        <v>0</v>
      </c>
      <c r="L61" s="1">
        <f t="shared" si="353"/>
        <v>0</v>
      </c>
      <c r="M61" s="1">
        <f t="shared" si="353"/>
        <v>0</v>
      </c>
      <c r="N61" s="1">
        <f t="shared" si="353"/>
        <v>0</v>
      </c>
      <c r="O61" s="1">
        <f t="shared" si="353"/>
        <v>0</v>
      </c>
      <c r="P61" s="1">
        <f t="shared" si="353"/>
        <v>0</v>
      </c>
      <c r="Q61" s="1">
        <f t="shared" si="353"/>
        <v>0</v>
      </c>
      <c r="R61" s="1">
        <f t="shared" si="353"/>
        <v>0</v>
      </c>
      <c r="S61" s="1">
        <f t="shared" si="353"/>
        <v>0</v>
      </c>
      <c r="T61" s="1">
        <f t="shared" si="353"/>
        <v>0</v>
      </c>
      <c r="U61" s="1">
        <f t="shared" si="353"/>
        <v>0</v>
      </c>
      <c r="V61" s="1">
        <f t="shared" si="353"/>
        <v>0</v>
      </c>
      <c r="W61" s="1">
        <f t="shared" si="353"/>
        <v>0</v>
      </c>
      <c r="X61" s="1">
        <f t="shared" si="353"/>
        <v>0</v>
      </c>
      <c r="Y61" s="1">
        <f t="shared" si="353"/>
        <v>0</v>
      </c>
      <c r="Z61" s="1">
        <f t="shared" si="353"/>
        <v>0</v>
      </c>
      <c r="AA61" s="1">
        <f t="shared" si="353"/>
        <v>0</v>
      </c>
      <c r="AB61" s="1">
        <f t="shared" si="353"/>
        <v>0</v>
      </c>
      <c r="AC61" s="1">
        <f t="shared" si="353"/>
        <v>0</v>
      </c>
      <c r="AD61" s="1">
        <f t="shared" si="353"/>
        <v>0</v>
      </c>
      <c r="AE61" s="1">
        <f t="shared" si="353"/>
        <v>0</v>
      </c>
      <c r="AF61" s="1">
        <f t="shared" si="353"/>
        <v>0</v>
      </c>
      <c r="AG61" s="1">
        <f t="shared" si="353"/>
        <v>0</v>
      </c>
      <c r="AH61" s="1">
        <f t="shared" si="353"/>
        <v>0</v>
      </c>
      <c r="AI61" s="1">
        <f t="shared" si="353"/>
        <v>0</v>
      </c>
      <c r="AJ61" s="1">
        <f t="shared" si="353"/>
        <v>0</v>
      </c>
      <c r="AK61" s="1">
        <f t="shared" si="353"/>
        <v>0</v>
      </c>
      <c r="AL61" s="1">
        <f t="shared" si="353"/>
        <v>0</v>
      </c>
      <c r="AM61" s="1">
        <f t="shared" si="353"/>
        <v>0</v>
      </c>
      <c r="AN61" s="1">
        <f t="shared" si="353"/>
        <v>0</v>
      </c>
      <c r="AO61" s="1">
        <f t="shared" si="353"/>
        <v>0</v>
      </c>
      <c r="AP61" s="1">
        <f t="shared" si="353"/>
        <v>0</v>
      </c>
      <c r="AQ61" s="1">
        <f t="shared" si="353"/>
        <v>0</v>
      </c>
      <c r="AR61" s="1">
        <f t="shared" si="353"/>
        <v>0</v>
      </c>
      <c r="AS61" s="1">
        <f t="shared" si="353"/>
        <v>0</v>
      </c>
      <c r="AT61" s="1">
        <f t="shared" si="353"/>
        <v>0</v>
      </c>
      <c r="AU61" s="1">
        <f t="shared" si="353"/>
        <v>0</v>
      </c>
      <c r="AV61" s="1">
        <f t="shared" si="353"/>
        <v>0</v>
      </c>
      <c r="AW61" s="1">
        <f t="shared" si="353"/>
        <v>0</v>
      </c>
      <c r="AX61" s="1">
        <f t="shared" si="353"/>
        <v>0</v>
      </c>
      <c r="AY61" s="1">
        <f t="shared" si="353"/>
        <v>0</v>
      </c>
      <c r="AZ61" s="1">
        <f t="shared" si="353"/>
        <v>0</v>
      </c>
      <c r="BA61" s="1">
        <f t="shared" si="353"/>
        <v>0</v>
      </c>
      <c r="BB61" s="1">
        <f t="shared" si="353"/>
        <v>0</v>
      </c>
      <c r="BC61" s="1">
        <f t="shared" si="353"/>
        <v>0</v>
      </c>
      <c r="BD61" s="1">
        <f t="shared" si="353"/>
        <v>0</v>
      </c>
      <c r="BE61" s="1">
        <f t="shared" si="353"/>
        <v>0</v>
      </c>
      <c r="BF61" s="1">
        <f t="shared" si="353"/>
        <v>0</v>
      </c>
      <c r="BG61" s="1">
        <f t="shared" si="353"/>
        <v>0</v>
      </c>
      <c r="BH61" s="1">
        <f t="shared" si="353"/>
        <v>0</v>
      </c>
      <c r="BI61" s="1">
        <f t="shared" si="353"/>
        <v>0</v>
      </c>
      <c r="BJ61" s="1">
        <f t="shared" si="353"/>
        <v>0</v>
      </c>
      <c r="BK61" s="1">
        <f t="shared" si="353"/>
        <v>0</v>
      </c>
      <c r="BL61" s="1">
        <f t="shared" si="353"/>
        <v>0</v>
      </c>
      <c r="BM61" s="1">
        <f t="shared" si="353"/>
        <v>0</v>
      </c>
      <c r="BN61" s="1">
        <f t="shared" si="353"/>
        <v>0</v>
      </c>
      <c r="BO61" s="1">
        <f t="shared" si="353"/>
        <v>0</v>
      </c>
      <c r="BP61" s="1">
        <f t="shared" si="353"/>
        <v>0</v>
      </c>
      <c r="BQ61" s="1">
        <f t="shared" si="353"/>
        <v>0</v>
      </c>
      <c r="BR61" s="1">
        <f t="shared" si="354"/>
        <v>0</v>
      </c>
      <c r="BS61" s="1">
        <f t="shared" si="354"/>
        <v>0</v>
      </c>
      <c r="BT61" s="1">
        <f t="shared" si="354"/>
        <v>0</v>
      </c>
      <c r="BU61" s="1">
        <f t="shared" si="354"/>
        <v>0</v>
      </c>
      <c r="BV61" s="1">
        <f t="shared" si="354"/>
        <v>0</v>
      </c>
      <c r="BW61" s="1">
        <f t="shared" si="354"/>
        <v>0</v>
      </c>
      <c r="BX61" s="1">
        <f t="shared" si="354"/>
        <v>0</v>
      </c>
      <c r="BY61" s="1">
        <f t="shared" si="354"/>
        <v>0</v>
      </c>
      <c r="BZ61" s="1">
        <f t="shared" si="354"/>
        <v>0</v>
      </c>
      <c r="CA61" s="1">
        <f t="shared" si="354"/>
        <v>0</v>
      </c>
      <c r="CB61" s="1">
        <f t="shared" si="354"/>
        <v>0</v>
      </c>
      <c r="CC61" s="1">
        <f t="shared" si="354"/>
        <v>0</v>
      </c>
      <c r="CD61" s="1">
        <f t="shared" si="354"/>
        <v>0</v>
      </c>
      <c r="CE61" s="1">
        <f t="shared" si="354"/>
        <v>0</v>
      </c>
      <c r="CF61" s="1">
        <f t="shared" si="354"/>
        <v>0</v>
      </c>
      <c r="CG61" s="1">
        <f t="shared" si="354"/>
        <v>0</v>
      </c>
      <c r="CH61" s="1">
        <f t="shared" si="354"/>
        <v>0</v>
      </c>
      <c r="CI61" s="1">
        <f t="shared" si="354"/>
        <v>0</v>
      </c>
      <c r="CJ61" s="1">
        <f t="shared" si="354"/>
        <v>0</v>
      </c>
      <c r="CK61" s="1">
        <f t="shared" si="354"/>
        <v>0</v>
      </c>
      <c r="CL61" s="1">
        <f t="shared" si="354"/>
        <v>0</v>
      </c>
      <c r="CM61" s="1">
        <f t="shared" si="354"/>
        <v>0</v>
      </c>
      <c r="CN61" s="1">
        <f t="shared" si="354"/>
        <v>0</v>
      </c>
      <c r="CO61" s="1">
        <f t="shared" si="354"/>
        <v>0</v>
      </c>
      <c r="CP61" s="1">
        <f t="shared" si="354"/>
        <v>0</v>
      </c>
      <c r="CQ61" s="1">
        <f t="shared" si="354"/>
        <v>0</v>
      </c>
      <c r="CR61" s="1">
        <f t="shared" si="354"/>
        <v>0</v>
      </c>
      <c r="CS61" s="1">
        <f t="shared" si="354"/>
        <v>0</v>
      </c>
      <c r="CT61" s="1">
        <f t="shared" si="354"/>
        <v>0</v>
      </c>
      <c r="CU61" s="1">
        <f t="shared" si="354"/>
        <v>0</v>
      </c>
      <c r="CV61" s="1">
        <f t="shared" si="354"/>
        <v>0</v>
      </c>
      <c r="CW61" s="1">
        <f t="shared" si="354"/>
        <v>0</v>
      </c>
      <c r="CX61" s="1">
        <f t="shared" si="354"/>
        <v>0</v>
      </c>
      <c r="CY61" s="1">
        <f t="shared" si="354"/>
        <v>0</v>
      </c>
      <c r="CZ61" s="1">
        <f t="shared" si="354"/>
        <v>0</v>
      </c>
      <c r="DA61" s="1">
        <f t="shared" si="354"/>
        <v>0</v>
      </c>
      <c r="DB61" s="1">
        <f t="shared" si="354"/>
        <v>0</v>
      </c>
      <c r="DC61" s="1">
        <f t="shared" si="354"/>
        <v>0</v>
      </c>
      <c r="DD61" s="1">
        <f t="shared" si="354"/>
        <v>0</v>
      </c>
      <c r="DE61" s="1">
        <f t="shared" si="354"/>
        <v>0</v>
      </c>
      <c r="DF61" s="1">
        <f t="shared" si="354"/>
        <v>0</v>
      </c>
      <c r="DG61" s="1">
        <f t="shared" si="354"/>
        <v>0</v>
      </c>
      <c r="DH61" s="1">
        <f t="shared" si="354"/>
        <v>0</v>
      </c>
      <c r="DI61" s="1">
        <f t="shared" si="354"/>
        <v>0</v>
      </c>
      <c r="DJ61" s="1">
        <f t="shared" si="354"/>
        <v>0</v>
      </c>
      <c r="DK61" s="1">
        <f t="shared" si="354"/>
        <v>0</v>
      </c>
      <c r="DL61" s="1">
        <f t="shared" si="354"/>
        <v>0</v>
      </c>
      <c r="DM61" s="1">
        <f t="shared" si="354"/>
        <v>0</v>
      </c>
      <c r="DN61" s="1">
        <f t="shared" si="354"/>
        <v>0</v>
      </c>
      <c r="DO61" s="1">
        <f t="shared" si="354"/>
        <v>0</v>
      </c>
      <c r="DP61" s="1">
        <f t="shared" si="354"/>
        <v>0</v>
      </c>
      <c r="DQ61" s="1">
        <f t="shared" si="354"/>
        <v>0</v>
      </c>
      <c r="DR61" s="1">
        <f t="shared" si="354"/>
        <v>0</v>
      </c>
      <c r="DS61" s="1">
        <f t="shared" si="354"/>
        <v>0</v>
      </c>
      <c r="DT61" s="1">
        <f t="shared" si="354"/>
        <v>0</v>
      </c>
      <c r="DU61" s="1">
        <f t="shared" si="354"/>
        <v>0</v>
      </c>
      <c r="DV61" s="1">
        <f t="shared" si="354"/>
        <v>0</v>
      </c>
    </row>
    <row r="62" spans="1:126" x14ac:dyDescent="0.25">
      <c r="A62" s="26" t="s">
        <v>32</v>
      </c>
      <c r="B62" s="26"/>
      <c r="C62" s="36">
        <f>+IF(Tipologia_Campo="FTTH",0,SUMIFS(ValoresMercado,Conceptos,A62,Relacion,DistanciaEnergiaSTD,Tipo,TipoEspecifico,KW_Energia,KW_EnergiaValor)/12)</f>
        <v>25130.875</v>
      </c>
      <c r="D62" s="35"/>
      <c r="E62" s="35">
        <f t="shared" si="37"/>
        <v>56</v>
      </c>
      <c r="F62" s="1">
        <f t="shared" si="328"/>
        <v>0</v>
      </c>
      <c r="G62" s="1">
        <f t="shared" ref="G62:G65" si="356">+(IF($A62="","",IF(G$15&gt;12,IF($D62&gt;MONTH(G$16)-MONTH(InicioFuncion)+12*(YEAR(G$16)-YEAR(InicioFuncion))+1,0,IF($E62&lt;=(MONTH(G$16)-MONTH(InicioFuncion)+12*(YEAR(G$16)-YEAR(InicioFuncion)))-$D62+IF($D62&lt;&gt;"",1,0),0,IF(G$15&gt;$B$9,0,IF((YEAR($B$8)-YEAR($B$7))*12+(MONTH($B$8)-MONTH($B$7))+$E$14&lt;=F$14,$C62))))*HLOOKUP(YEAR(G$16),$E$3:$O$5,3,0),0)))</f>
        <v>0</v>
      </c>
      <c r="H62" s="1">
        <f t="shared" ref="H62:H65" si="357">+(IF($A62="","",IF(H$15&gt;12,IF($D62&gt;MONTH(H$16)-MONTH(InicioFuncion)+12*(YEAR(H$16)-YEAR(InicioFuncion))+1,0,IF($E62&lt;=(MONTH(H$16)-MONTH(InicioFuncion)+12*(YEAR(H$16)-YEAR(InicioFuncion)))-$D62+IF($D62&lt;&gt;"",1,0),0,IF(H$15&gt;$B$9,0,IF((YEAR($B$8)-YEAR($B$7))*12+(MONTH($B$8)-MONTH($B$7))+$E$14&lt;=G$14,$C62))))*HLOOKUP(YEAR(H$16),$E$3:$O$5,3,0),0)))</f>
        <v>0</v>
      </c>
      <c r="I62" s="1">
        <f t="shared" ref="I62:I65" si="358">+(IF($A62="","",IF(I$15&gt;12,IF($D62&gt;MONTH(I$16)-MONTH(InicioFuncion)+12*(YEAR(I$16)-YEAR(InicioFuncion))+1,0,IF($E62&lt;=(MONTH(I$16)-MONTH(InicioFuncion)+12*(YEAR(I$16)-YEAR(InicioFuncion)))-$D62+IF($D62&lt;&gt;"",1,0),0,IF(I$15&gt;$B$9,0,IF((YEAR($B$8)-YEAR($B$7))*12+(MONTH($B$8)-MONTH($B$7))+$E$14&lt;=H$14,$C62))))*HLOOKUP(YEAR(I$16),$E$3:$O$5,3,0),0)))</f>
        <v>0</v>
      </c>
      <c r="J62" s="1">
        <f t="shared" ref="J62:J65" si="359">+(IF($A62="","",IF(J$15&gt;12,IF($D62&gt;MONTH(J$16)-MONTH(InicioFuncion)+12*(YEAR(J$16)-YEAR(InicioFuncion))+1,0,IF($E62&lt;=(MONTH(J$16)-MONTH(InicioFuncion)+12*(YEAR(J$16)-YEAR(InicioFuncion)))-$D62+IF($D62&lt;&gt;"",1,0),0,IF(J$15&gt;$B$9,0,IF((YEAR($B$8)-YEAR($B$7))*12+(MONTH($B$8)-MONTH($B$7))+$E$14&lt;=I$14,$C62))))*HLOOKUP(YEAR(J$16),$E$3:$O$5,3,0),0)))</f>
        <v>0</v>
      </c>
      <c r="K62" s="1">
        <f t="shared" ref="K62:K65" si="360">+(IF($A62="","",IF(K$15&gt;12,IF($D62&gt;MONTH(K$16)-MONTH(InicioFuncion)+12*(YEAR(K$16)-YEAR(InicioFuncion))+1,0,IF($E62&lt;=(MONTH(K$16)-MONTH(InicioFuncion)+12*(YEAR(K$16)-YEAR(InicioFuncion)))-$D62+IF($D62&lt;&gt;"",1,0),0,IF(K$15&gt;$B$9,0,IF((YEAR($B$8)-YEAR($B$7))*12+(MONTH($B$8)-MONTH($B$7))+$E$14&lt;=J$14,$C62))))*HLOOKUP(YEAR(K$16),$E$3:$O$5,3,0),0)))</f>
        <v>0</v>
      </c>
      <c r="L62" s="1">
        <f t="shared" ref="L62:L65" si="361">+(IF($A62="","",IF(L$15&gt;12,IF($D62&gt;MONTH(L$16)-MONTH(InicioFuncion)+12*(YEAR(L$16)-YEAR(InicioFuncion))+1,0,IF($E62&lt;=(MONTH(L$16)-MONTH(InicioFuncion)+12*(YEAR(L$16)-YEAR(InicioFuncion)))-$D62+IF($D62&lt;&gt;"",1,0),0,IF(L$15&gt;$B$9,0,IF((YEAR($B$8)-YEAR($B$7))*12+(MONTH($B$8)-MONTH($B$7))+$E$14&lt;=K$14,$C62))))*HLOOKUP(YEAR(L$16),$E$3:$O$5,3,0),0)))</f>
        <v>0</v>
      </c>
      <c r="M62" s="1">
        <f t="shared" ref="M62:M65" si="362">+(IF($A62="","",IF(M$15&gt;12,IF($D62&gt;MONTH(M$16)-MONTH(InicioFuncion)+12*(YEAR(M$16)-YEAR(InicioFuncion))+1,0,IF($E62&lt;=(MONTH(M$16)-MONTH(InicioFuncion)+12*(YEAR(M$16)-YEAR(InicioFuncion)))-$D62+IF($D62&lt;&gt;"",1,0),0,IF(M$15&gt;$B$9,0,IF((YEAR($B$8)-YEAR($B$7))*12+(MONTH($B$8)-MONTH($B$7))+$E$14&lt;=L$14,$C62))))*HLOOKUP(YEAR(M$16),$E$3:$O$5,3,0),0)))</f>
        <v>0</v>
      </c>
      <c r="N62" s="1">
        <f t="shared" ref="N62:N65" si="363">+(IF($A62="","",IF(N$15&gt;12,IF($D62&gt;MONTH(N$16)-MONTH(InicioFuncion)+12*(YEAR(N$16)-YEAR(InicioFuncion))+1,0,IF($E62&lt;=(MONTH(N$16)-MONTH(InicioFuncion)+12*(YEAR(N$16)-YEAR(InicioFuncion)))-$D62+IF($D62&lt;&gt;"",1,0),0,IF(N$15&gt;$B$9,0,IF((YEAR($B$8)-YEAR($B$7))*12+(MONTH($B$8)-MONTH($B$7))+$E$14&lt;=M$14,$C62))))*HLOOKUP(YEAR(N$16),$E$3:$O$5,3,0),0)))</f>
        <v>0</v>
      </c>
      <c r="O62" s="1">
        <f t="shared" ref="O62:O65" si="364">+(IF($A62="","",IF(O$15&gt;12,IF($D62&gt;MONTH(O$16)-MONTH(InicioFuncion)+12*(YEAR(O$16)-YEAR(InicioFuncion))+1,0,IF($E62&lt;=(MONTH(O$16)-MONTH(InicioFuncion)+12*(YEAR(O$16)-YEAR(InicioFuncion)))-$D62+IF($D62&lt;&gt;"",1,0),0,IF(O$15&gt;$B$9,0,IF((YEAR($B$8)-YEAR($B$7))*12+(MONTH($B$8)-MONTH($B$7))+$E$14&lt;=N$14,$C62))))*HLOOKUP(YEAR(O$16),$E$3:$O$5,3,0),0)))</f>
        <v>0</v>
      </c>
      <c r="P62" s="1">
        <f t="shared" ref="P62:P65" si="365">+(IF($A62="","",IF(P$15&gt;12,IF($D62&gt;MONTH(P$16)-MONTH(InicioFuncion)+12*(YEAR(P$16)-YEAR(InicioFuncion))+1,0,IF($E62&lt;=(MONTH(P$16)-MONTH(InicioFuncion)+12*(YEAR(P$16)-YEAR(InicioFuncion)))-$D62+IF($D62&lt;&gt;"",1,0),0,IF(P$15&gt;$B$9,0,IF((YEAR($B$8)-YEAR($B$7))*12+(MONTH($B$8)-MONTH($B$7))+$E$14&lt;=O$14,$C62))))*HLOOKUP(YEAR(P$16),$E$3:$O$5,3,0),0)))</f>
        <v>0</v>
      </c>
      <c r="Q62" s="1">
        <f t="shared" ref="Q62:Q65" si="366">+(IF($A62="","",IF(Q$15&gt;12,IF($D62&gt;MONTH(Q$16)-MONTH(InicioFuncion)+12*(YEAR(Q$16)-YEAR(InicioFuncion))+1,0,IF($E62&lt;=(MONTH(Q$16)-MONTH(InicioFuncion)+12*(YEAR(Q$16)-YEAR(InicioFuncion)))-$D62+IF($D62&lt;&gt;"",1,0),0,IF(Q$15&gt;$B$9,0,IF((YEAR($B$8)-YEAR($B$7))*12+(MONTH($B$8)-MONTH($B$7))+$E$14&lt;=P$14,$C62))))*HLOOKUP(YEAR(Q$16),$E$3:$O$5,3,0),0)))</f>
        <v>0</v>
      </c>
      <c r="R62" s="1">
        <f t="shared" ref="R62:R65" si="367">+(IF($A62="","",IF(R$15&gt;12,IF($D62&gt;MONTH(R$16)-MONTH(InicioFuncion)+12*(YEAR(R$16)-YEAR(InicioFuncion))+1,0,IF($E62&lt;=(MONTH(R$16)-MONTH(InicioFuncion)+12*(YEAR(R$16)-YEAR(InicioFuncion)))-$D62+IF($D62&lt;&gt;"",1,0),0,IF(R$15&gt;$B$9,0,IF((YEAR($B$8)-YEAR($B$7))*12+(MONTH($B$8)-MONTH($B$7))+$E$14&lt;=Q$14,$C62))))*HLOOKUP(YEAR(R$16),$E$3:$O$5,3,0),0)))</f>
        <v>0</v>
      </c>
      <c r="S62" s="1">
        <f t="shared" ref="S62:S65" si="368">+(IF($A62="","",IF(S$15&gt;12,IF($D62&gt;MONTH(S$16)-MONTH(InicioFuncion)+12*(YEAR(S$16)-YEAR(InicioFuncion))+1,0,IF($E62&lt;=(MONTH(S$16)-MONTH(InicioFuncion)+12*(YEAR(S$16)-YEAR(InicioFuncion)))-$D62+IF($D62&lt;&gt;"",1,0),0,IF(S$15&gt;$B$9,0,IF((YEAR($B$8)-YEAR($B$7))*12+(MONTH($B$8)-MONTH($B$7))+$E$14&lt;=R$14,$C62))))*HLOOKUP(YEAR(S$16),$E$3:$O$5,3,0),0)))</f>
        <v>25884.80125</v>
      </c>
      <c r="T62" s="1">
        <f t="shared" ref="T62:T65" si="369">+(IF($A62="","",IF(T$15&gt;12,IF($D62&gt;MONTH(T$16)-MONTH(InicioFuncion)+12*(YEAR(T$16)-YEAR(InicioFuncion))+1,0,IF($E62&lt;=(MONTH(T$16)-MONTH(InicioFuncion)+12*(YEAR(T$16)-YEAR(InicioFuncion)))-$D62+IF($D62&lt;&gt;"",1,0),0,IF(T$15&gt;$B$9,0,IF((YEAR($B$8)-YEAR($B$7))*12+(MONTH($B$8)-MONTH($B$7))+$E$14&lt;=S$14,$C62))))*HLOOKUP(YEAR(T$16),$E$3:$O$5,3,0),0)))</f>
        <v>25884.80125</v>
      </c>
      <c r="U62" s="1">
        <f t="shared" ref="U62:U65" si="370">+(IF($A62="","",IF(U$15&gt;12,IF($D62&gt;MONTH(U$16)-MONTH(InicioFuncion)+12*(YEAR(U$16)-YEAR(InicioFuncion))+1,0,IF($E62&lt;=(MONTH(U$16)-MONTH(InicioFuncion)+12*(YEAR(U$16)-YEAR(InicioFuncion)))-$D62+IF($D62&lt;&gt;"",1,0),0,IF(U$15&gt;$B$9,0,IF((YEAR($B$8)-YEAR($B$7))*12+(MONTH($B$8)-MONTH($B$7))+$E$14&lt;=T$14,$C62))))*HLOOKUP(YEAR(U$16),$E$3:$O$5,3,0),0)))</f>
        <v>25884.80125</v>
      </c>
      <c r="V62" s="1">
        <f t="shared" ref="V62:V65" si="371">+(IF($A62="","",IF(V$15&gt;12,IF($D62&gt;MONTH(V$16)-MONTH(InicioFuncion)+12*(YEAR(V$16)-YEAR(InicioFuncion))+1,0,IF($E62&lt;=(MONTH(V$16)-MONTH(InicioFuncion)+12*(YEAR(V$16)-YEAR(InicioFuncion)))-$D62+IF($D62&lt;&gt;"",1,0),0,IF(V$15&gt;$B$9,0,IF((YEAR($B$8)-YEAR($B$7))*12+(MONTH($B$8)-MONTH($B$7))+$E$14&lt;=U$14,$C62))))*HLOOKUP(YEAR(V$16),$E$3:$O$5,3,0),0)))</f>
        <v>25884.80125</v>
      </c>
      <c r="W62" s="1">
        <f t="shared" ref="W62:W65" si="372">+(IF($A62="","",IF(W$15&gt;12,IF($D62&gt;MONTH(W$16)-MONTH(InicioFuncion)+12*(YEAR(W$16)-YEAR(InicioFuncion))+1,0,IF($E62&lt;=(MONTH(W$16)-MONTH(InicioFuncion)+12*(YEAR(W$16)-YEAR(InicioFuncion)))-$D62+IF($D62&lt;&gt;"",1,0),0,IF(W$15&gt;$B$9,0,IF((YEAR($B$8)-YEAR($B$7))*12+(MONTH($B$8)-MONTH($B$7))+$E$14&lt;=V$14,$C62))))*HLOOKUP(YEAR(W$16),$E$3:$O$5,3,0),0)))</f>
        <v>25884.80125</v>
      </c>
      <c r="X62" s="1">
        <f t="shared" ref="X62:X65" si="373">+(IF($A62="","",IF(X$15&gt;12,IF($D62&gt;MONTH(X$16)-MONTH(InicioFuncion)+12*(YEAR(X$16)-YEAR(InicioFuncion))+1,0,IF($E62&lt;=(MONTH(X$16)-MONTH(InicioFuncion)+12*(YEAR(X$16)-YEAR(InicioFuncion)))-$D62+IF($D62&lt;&gt;"",1,0),0,IF(X$15&gt;$B$9,0,IF((YEAR($B$8)-YEAR($B$7))*12+(MONTH($B$8)-MONTH($B$7))+$E$14&lt;=W$14,$C62))))*HLOOKUP(YEAR(X$16),$E$3:$O$5,3,0),0)))</f>
        <v>25884.80125</v>
      </c>
      <c r="Y62" s="1">
        <f t="shared" ref="Y62:Y65" si="374">+(IF($A62="","",IF(Y$15&gt;12,IF($D62&gt;MONTH(Y$16)-MONTH(InicioFuncion)+12*(YEAR(Y$16)-YEAR(InicioFuncion))+1,0,IF($E62&lt;=(MONTH(Y$16)-MONTH(InicioFuncion)+12*(YEAR(Y$16)-YEAR(InicioFuncion)))-$D62+IF($D62&lt;&gt;"",1,0),0,IF(Y$15&gt;$B$9,0,IF((YEAR($B$8)-YEAR($B$7))*12+(MONTH($B$8)-MONTH($B$7))+$E$14&lt;=X$14,$C62))))*HLOOKUP(YEAR(Y$16),$E$3:$O$5,3,0),0)))</f>
        <v>25884.80125</v>
      </c>
      <c r="Z62" s="1">
        <f t="shared" ref="Z62:Z65" si="375">+(IF($A62="","",IF(Z$15&gt;12,IF($D62&gt;MONTH(Z$16)-MONTH(InicioFuncion)+12*(YEAR(Z$16)-YEAR(InicioFuncion))+1,0,IF($E62&lt;=(MONTH(Z$16)-MONTH(InicioFuncion)+12*(YEAR(Z$16)-YEAR(InicioFuncion)))-$D62+IF($D62&lt;&gt;"",1,0),0,IF(Z$15&gt;$B$9,0,IF((YEAR($B$8)-YEAR($B$7))*12+(MONTH($B$8)-MONTH($B$7))+$E$14&lt;=Y$14,$C62))))*HLOOKUP(YEAR(Z$16),$E$3:$O$5,3,0),0)))</f>
        <v>26661.3452875</v>
      </c>
      <c r="AA62" s="1">
        <f t="shared" ref="AA62:AA65" si="376">+(IF($A62="","",IF(AA$15&gt;12,IF($D62&gt;MONTH(AA$16)-MONTH(InicioFuncion)+12*(YEAR(AA$16)-YEAR(InicioFuncion))+1,0,IF($E62&lt;=(MONTH(AA$16)-MONTH(InicioFuncion)+12*(YEAR(AA$16)-YEAR(InicioFuncion)))-$D62+IF($D62&lt;&gt;"",1,0),0,IF(AA$15&gt;$B$9,0,IF((YEAR($B$8)-YEAR($B$7))*12+(MONTH($B$8)-MONTH($B$7))+$E$14&lt;=Z$14,$C62))))*HLOOKUP(YEAR(AA$16),$E$3:$O$5,3,0),0)))</f>
        <v>26661.3452875</v>
      </c>
      <c r="AB62" s="1">
        <f t="shared" ref="AB62:AB65" si="377">+(IF($A62="","",IF(AB$15&gt;12,IF($D62&gt;MONTH(AB$16)-MONTH(InicioFuncion)+12*(YEAR(AB$16)-YEAR(InicioFuncion))+1,0,IF($E62&lt;=(MONTH(AB$16)-MONTH(InicioFuncion)+12*(YEAR(AB$16)-YEAR(InicioFuncion)))-$D62+IF($D62&lt;&gt;"",1,0),0,IF(AB$15&gt;$B$9,0,IF((YEAR($B$8)-YEAR($B$7))*12+(MONTH($B$8)-MONTH($B$7))+$E$14&lt;=AA$14,$C62))))*HLOOKUP(YEAR(AB$16),$E$3:$O$5,3,0),0)))</f>
        <v>26661.3452875</v>
      </c>
      <c r="AC62" s="1">
        <f t="shared" ref="AC62:AC65" si="378">+(IF($A62="","",IF(AC$15&gt;12,IF($D62&gt;MONTH(AC$16)-MONTH(InicioFuncion)+12*(YEAR(AC$16)-YEAR(InicioFuncion))+1,0,IF($E62&lt;=(MONTH(AC$16)-MONTH(InicioFuncion)+12*(YEAR(AC$16)-YEAR(InicioFuncion)))-$D62+IF($D62&lt;&gt;"",1,0),0,IF(AC$15&gt;$B$9,0,IF((YEAR($B$8)-YEAR($B$7))*12+(MONTH($B$8)-MONTH($B$7))+$E$14&lt;=AB$14,$C62))))*HLOOKUP(YEAR(AC$16),$E$3:$O$5,3,0),0)))</f>
        <v>26661.3452875</v>
      </c>
      <c r="AD62" s="1">
        <f t="shared" ref="AD62:AD65" si="379">+(IF($A62="","",IF(AD$15&gt;12,IF($D62&gt;MONTH(AD$16)-MONTH(InicioFuncion)+12*(YEAR(AD$16)-YEAR(InicioFuncion))+1,0,IF($E62&lt;=(MONTH(AD$16)-MONTH(InicioFuncion)+12*(YEAR(AD$16)-YEAR(InicioFuncion)))-$D62+IF($D62&lt;&gt;"",1,0),0,IF(AD$15&gt;$B$9,0,IF((YEAR($B$8)-YEAR($B$7))*12+(MONTH($B$8)-MONTH($B$7))+$E$14&lt;=AC$14,$C62))))*HLOOKUP(YEAR(AD$16),$E$3:$O$5,3,0),0)))</f>
        <v>26661.3452875</v>
      </c>
      <c r="AE62" s="1">
        <f t="shared" ref="AE62:AE65" si="380">+(IF($A62="","",IF(AE$15&gt;12,IF($D62&gt;MONTH(AE$16)-MONTH(InicioFuncion)+12*(YEAR(AE$16)-YEAR(InicioFuncion))+1,0,IF($E62&lt;=(MONTH(AE$16)-MONTH(InicioFuncion)+12*(YEAR(AE$16)-YEAR(InicioFuncion)))-$D62+IF($D62&lt;&gt;"",1,0),0,IF(AE$15&gt;$B$9,0,IF((YEAR($B$8)-YEAR($B$7))*12+(MONTH($B$8)-MONTH($B$7))+$E$14&lt;=AD$14,$C62))))*HLOOKUP(YEAR(AE$16),$E$3:$O$5,3,0),0)))</f>
        <v>26661.3452875</v>
      </c>
      <c r="AF62" s="1">
        <f t="shared" ref="AF62:AF65" si="381">+(IF($A62="","",IF(AF$15&gt;12,IF($D62&gt;MONTH(AF$16)-MONTH(InicioFuncion)+12*(YEAR(AF$16)-YEAR(InicioFuncion))+1,0,IF($E62&lt;=(MONTH(AF$16)-MONTH(InicioFuncion)+12*(YEAR(AF$16)-YEAR(InicioFuncion)))-$D62+IF($D62&lt;&gt;"",1,0),0,IF(AF$15&gt;$B$9,0,IF((YEAR($B$8)-YEAR($B$7))*12+(MONTH($B$8)-MONTH($B$7))+$E$14&lt;=AE$14,$C62))))*HLOOKUP(YEAR(AF$16),$E$3:$O$5,3,0),0)))</f>
        <v>26661.3452875</v>
      </c>
      <c r="AG62" s="1">
        <f t="shared" ref="AG62:AG65" si="382">+(IF($A62="","",IF(AG$15&gt;12,IF($D62&gt;MONTH(AG$16)-MONTH(InicioFuncion)+12*(YEAR(AG$16)-YEAR(InicioFuncion))+1,0,IF($E62&lt;=(MONTH(AG$16)-MONTH(InicioFuncion)+12*(YEAR(AG$16)-YEAR(InicioFuncion)))-$D62+IF($D62&lt;&gt;"",1,0),0,IF(AG$15&gt;$B$9,0,IF((YEAR($B$8)-YEAR($B$7))*12+(MONTH($B$8)-MONTH($B$7))+$E$14&lt;=AF$14,$C62))))*HLOOKUP(YEAR(AG$16),$E$3:$O$5,3,0),0)))</f>
        <v>26661.3452875</v>
      </c>
      <c r="AH62" s="1">
        <f t="shared" ref="AH62:AH65" si="383">+(IF($A62="","",IF(AH$15&gt;12,IF($D62&gt;MONTH(AH$16)-MONTH(InicioFuncion)+12*(YEAR(AH$16)-YEAR(InicioFuncion))+1,0,IF($E62&lt;=(MONTH(AH$16)-MONTH(InicioFuncion)+12*(YEAR(AH$16)-YEAR(InicioFuncion)))-$D62+IF($D62&lt;&gt;"",1,0),0,IF(AH$15&gt;$B$9,0,IF((YEAR($B$8)-YEAR($B$7))*12+(MONTH($B$8)-MONTH($B$7))+$E$14&lt;=AG$14,$C62))))*HLOOKUP(YEAR(AH$16),$E$3:$O$5,3,0),0)))</f>
        <v>26661.3452875</v>
      </c>
      <c r="AI62" s="1">
        <f t="shared" ref="AI62:AI65" si="384">+(IF($A62="","",IF(AI$15&gt;12,IF($D62&gt;MONTH(AI$16)-MONTH(InicioFuncion)+12*(YEAR(AI$16)-YEAR(InicioFuncion))+1,0,IF($E62&lt;=(MONTH(AI$16)-MONTH(InicioFuncion)+12*(YEAR(AI$16)-YEAR(InicioFuncion)))-$D62+IF($D62&lt;&gt;"",1,0),0,IF(AI$15&gt;$B$9,0,IF((YEAR($B$8)-YEAR($B$7))*12+(MONTH($B$8)-MONTH($B$7))+$E$14&lt;=AH$14,$C62))))*HLOOKUP(YEAR(AI$16),$E$3:$O$5,3,0),0)))</f>
        <v>26661.3452875</v>
      </c>
      <c r="AJ62" s="1">
        <f t="shared" ref="AJ62:AJ65" si="385">+(IF($A62="","",IF(AJ$15&gt;12,IF($D62&gt;MONTH(AJ$16)-MONTH(InicioFuncion)+12*(YEAR(AJ$16)-YEAR(InicioFuncion))+1,0,IF($E62&lt;=(MONTH(AJ$16)-MONTH(InicioFuncion)+12*(YEAR(AJ$16)-YEAR(InicioFuncion)))-$D62+IF($D62&lt;&gt;"",1,0),0,IF(AJ$15&gt;$B$9,0,IF((YEAR($B$8)-YEAR($B$7))*12+(MONTH($B$8)-MONTH($B$7))+$E$14&lt;=AI$14,$C62))))*HLOOKUP(YEAR(AJ$16),$E$3:$O$5,3,0),0)))</f>
        <v>26661.3452875</v>
      </c>
      <c r="AK62" s="1">
        <f t="shared" ref="AK62:AK65" si="386">+(IF($A62="","",IF(AK$15&gt;12,IF($D62&gt;MONTH(AK$16)-MONTH(InicioFuncion)+12*(YEAR(AK$16)-YEAR(InicioFuncion))+1,0,IF($E62&lt;=(MONTH(AK$16)-MONTH(InicioFuncion)+12*(YEAR(AK$16)-YEAR(InicioFuncion)))-$D62+IF($D62&lt;&gt;"",1,0),0,IF(AK$15&gt;$B$9,0,IF((YEAR($B$8)-YEAR($B$7))*12+(MONTH($B$8)-MONTH($B$7))+$E$14&lt;=AJ$14,$C62))))*HLOOKUP(YEAR(AK$16),$E$3:$O$5,3,0),0)))</f>
        <v>26661.3452875</v>
      </c>
      <c r="AL62" s="1">
        <f t="shared" ref="AL62:AL65" si="387">+(IF($A62="","",IF(AL$15&gt;12,IF($D62&gt;MONTH(AL$16)-MONTH(InicioFuncion)+12*(YEAR(AL$16)-YEAR(InicioFuncion))+1,0,IF($E62&lt;=(MONTH(AL$16)-MONTH(InicioFuncion)+12*(YEAR(AL$16)-YEAR(InicioFuncion)))-$D62+IF($D62&lt;&gt;"",1,0),0,IF(AL$15&gt;$B$9,0,IF((YEAR($B$8)-YEAR($B$7))*12+(MONTH($B$8)-MONTH($B$7))+$E$14&lt;=AK$14,$C62))))*HLOOKUP(YEAR(AL$16),$E$3:$O$5,3,0),0)))</f>
        <v>27461.185646124999</v>
      </c>
      <c r="AM62" s="1">
        <f t="shared" ref="AM62:AM65" si="388">+(IF($A62="","",IF(AM$15&gt;12,IF($D62&gt;MONTH(AM$16)-MONTH(InicioFuncion)+12*(YEAR(AM$16)-YEAR(InicioFuncion))+1,0,IF($E62&lt;=(MONTH(AM$16)-MONTH(InicioFuncion)+12*(YEAR(AM$16)-YEAR(InicioFuncion)))-$D62+IF($D62&lt;&gt;"",1,0),0,IF(AM$15&gt;$B$9,0,IF((YEAR($B$8)-YEAR($B$7))*12+(MONTH($B$8)-MONTH($B$7))+$E$14&lt;=AL$14,$C62))))*HLOOKUP(YEAR(AM$16),$E$3:$O$5,3,0),0)))</f>
        <v>27461.185646124999</v>
      </c>
      <c r="AN62" s="1">
        <f t="shared" ref="AN62:AN65" si="389">+(IF($A62="","",IF(AN$15&gt;12,IF($D62&gt;MONTH(AN$16)-MONTH(InicioFuncion)+12*(YEAR(AN$16)-YEAR(InicioFuncion))+1,0,IF($E62&lt;=(MONTH(AN$16)-MONTH(InicioFuncion)+12*(YEAR(AN$16)-YEAR(InicioFuncion)))-$D62+IF($D62&lt;&gt;"",1,0),0,IF(AN$15&gt;$B$9,0,IF((YEAR($B$8)-YEAR($B$7))*12+(MONTH($B$8)-MONTH($B$7))+$E$14&lt;=AM$14,$C62))))*HLOOKUP(YEAR(AN$16),$E$3:$O$5,3,0),0)))</f>
        <v>27461.185646124999</v>
      </c>
      <c r="AO62" s="1">
        <f t="shared" ref="AO62:AO65" si="390">+(IF($A62="","",IF(AO$15&gt;12,IF($D62&gt;MONTH(AO$16)-MONTH(InicioFuncion)+12*(YEAR(AO$16)-YEAR(InicioFuncion))+1,0,IF($E62&lt;=(MONTH(AO$16)-MONTH(InicioFuncion)+12*(YEAR(AO$16)-YEAR(InicioFuncion)))-$D62+IF($D62&lt;&gt;"",1,0),0,IF(AO$15&gt;$B$9,0,IF((YEAR($B$8)-YEAR($B$7))*12+(MONTH($B$8)-MONTH($B$7))+$E$14&lt;=AN$14,$C62))))*HLOOKUP(YEAR(AO$16),$E$3:$O$5,3,0),0)))</f>
        <v>27461.185646124999</v>
      </c>
      <c r="AP62" s="1">
        <f t="shared" ref="AP62:AP65" si="391">+(IF($A62="","",IF(AP$15&gt;12,IF($D62&gt;MONTH(AP$16)-MONTH(InicioFuncion)+12*(YEAR(AP$16)-YEAR(InicioFuncion))+1,0,IF($E62&lt;=(MONTH(AP$16)-MONTH(InicioFuncion)+12*(YEAR(AP$16)-YEAR(InicioFuncion)))-$D62+IF($D62&lt;&gt;"",1,0),0,IF(AP$15&gt;$B$9,0,IF((YEAR($B$8)-YEAR($B$7))*12+(MONTH($B$8)-MONTH($B$7))+$E$14&lt;=AO$14,$C62))))*HLOOKUP(YEAR(AP$16),$E$3:$O$5,3,0),0)))</f>
        <v>27461.185646124999</v>
      </c>
      <c r="AQ62" s="1">
        <f t="shared" ref="AQ62:AQ65" si="392">+(IF($A62="","",IF(AQ$15&gt;12,IF($D62&gt;MONTH(AQ$16)-MONTH(InicioFuncion)+12*(YEAR(AQ$16)-YEAR(InicioFuncion))+1,0,IF($E62&lt;=(MONTH(AQ$16)-MONTH(InicioFuncion)+12*(YEAR(AQ$16)-YEAR(InicioFuncion)))-$D62+IF($D62&lt;&gt;"",1,0),0,IF(AQ$15&gt;$B$9,0,IF((YEAR($B$8)-YEAR($B$7))*12+(MONTH($B$8)-MONTH($B$7))+$E$14&lt;=AP$14,$C62))))*HLOOKUP(YEAR(AQ$16),$E$3:$O$5,3,0),0)))</f>
        <v>27461.185646124999</v>
      </c>
      <c r="AR62" s="1">
        <f t="shared" ref="AR62:AR65" si="393">+(IF($A62="","",IF(AR$15&gt;12,IF($D62&gt;MONTH(AR$16)-MONTH(InicioFuncion)+12*(YEAR(AR$16)-YEAR(InicioFuncion))+1,0,IF($E62&lt;=(MONTH(AR$16)-MONTH(InicioFuncion)+12*(YEAR(AR$16)-YEAR(InicioFuncion)))-$D62+IF($D62&lt;&gt;"",1,0),0,IF(AR$15&gt;$B$9,0,IF((YEAR($B$8)-YEAR($B$7))*12+(MONTH($B$8)-MONTH($B$7))+$E$14&lt;=AQ$14,$C62))))*HLOOKUP(YEAR(AR$16),$E$3:$O$5,3,0),0)))</f>
        <v>27461.185646124999</v>
      </c>
      <c r="AS62" s="1">
        <f t="shared" ref="AS62:AS65" si="394">+(IF($A62="","",IF(AS$15&gt;12,IF($D62&gt;MONTH(AS$16)-MONTH(InicioFuncion)+12*(YEAR(AS$16)-YEAR(InicioFuncion))+1,0,IF($E62&lt;=(MONTH(AS$16)-MONTH(InicioFuncion)+12*(YEAR(AS$16)-YEAR(InicioFuncion)))-$D62+IF($D62&lt;&gt;"",1,0),0,IF(AS$15&gt;$B$9,0,IF((YEAR($B$8)-YEAR($B$7))*12+(MONTH($B$8)-MONTH($B$7))+$E$14&lt;=AR$14,$C62))))*HLOOKUP(YEAR(AS$16),$E$3:$O$5,3,0),0)))</f>
        <v>27461.185646124999</v>
      </c>
      <c r="AT62" s="1">
        <f t="shared" ref="AT62:AT65" si="395">+(IF($A62="","",IF(AT$15&gt;12,IF($D62&gt;MONTH(AT$16)-MONTH(InicioFuncion)+12*(YEAR(AT$16)-YEAR(InicioFuncion))+1,0,IF($E62&lt;=(MONTH(AT$16)-MONTH(InicioFuncion)+12*(YEAR(AT$16)-YEAR(InicioFuncion)))-$D62+IF($D62&lt;&gt;"",1,0),0,IF(AT$15&gt;$B$9,0,IF((YEAR($B$8)-YEAR($B$7))*12+(MONTH($B$8)-MONTH($B$7))+$E$14&lt;=AS$14,$C62))))*HLOOKUP(YEAR(AT$16),$E$3:$O$5,3,0),0)))</f>
        <v>27461.185646124999</v>
      </c>
      <c r="AU62" s="1">
        <f t="shared" ref="AU62:AU65" si="396">+(IF($A62="","",IF(AU$15&gt;12,IF($D62&gt;MONTH(AU$16)-MONTH(InicioFuncion)+12*(YEAR(AU$16)-YEAR(InicioFuncion))+1,0,IF($E62&lt;=(MONTH(AU$16)-MONTH(InicioFuncion)+12*(YEAR(AU$16)-YEAR(InicioFuncion)))-$D62+IF($D62&lt;&gt;"",1,0),0,IF(AU$15&gt;$B$9,0,IF((YEAR($B$8)-YEAR($B$7))*12+(MONTH($B$8)-MONTH($B$7))+$E$14&lt;=AT$14,$C62))))*HLOOKUP(YEAR(AU$16),$E$3:$O$5,3,0),0)))</f>
        <v>27461.185646124999</v>
      </c>
      <c r="AV62" s="1">
        <f t="shared" ref="AV62:AV65" si="397">+(IF($A62="","",IF(AV$15&gt;12,IF($D62&gt;MONTH(AV$16)-MONTH(InicioFuncion)+12*(YEAR(AV$16)-YEAR(InicioFuncion))+1,0,IF($E62&lt;=(MONTH(AV$16)-MONTH(InicioFuncion)+12*(YEAR(AV$16)-YEAR(InicioFuncion)))-$D62+IF($D62&lt;&gt;"",1,0),0,IF(AV$15&gt;$B$9,0,IF((YEAR($B$8)-YEAR($B$7))*12+(MONTH($B$8)-MONTH($B$7))+$E$14&lt;=AU$14,$C62))))*HLOOKUP(YEAR(AV$16),$E$3:$O$5,3,0),0)))</f>
        <v>27461.185646124999</v>
      </c>
      <c r="AW62" s="1">
        <f t="shared" ref="AW62:AW65" si="398">+(IF($A62="","",IF(AW$15&gt;12,IF($D62&gt;MONTH(AW$16)-MONTH(InicioFuncion)+12*(YEAR(AW$16)-YEAR(InicioFuncion))+1,0,IF($E62&lt;=(MONTH(AW$16)-MONTH(InicioFuncion)+12*(YEAR(AW$16)-YEAR(InicioFuncion)))-$D62+IF($D62&lt;&gt;"",1,0),0,IF(AW$15&gt;$B$9,0,IF((YEAR($B$8)-YEAR($B$7))*12+(MONTH($B$8)-MONTH($B$7))+$E$14&lt;=AV$14,$C62))))*HLOOKUP(YEAR(AW$16),$E$3:$O$5,3,0),0)))</f>
        <v>27461.185646124999</v>
      </c>
      <c r="AX62" s="1">
        <f t="shared" ref="AX62:AX65" si="399">+(IF($A62="","",IF(AX$15&gt;12,IF($D62&gt;MONTH(AX$16)-MONTH(InicioFuncion)+12*(YEAR(AX$16)-YEAR(InicioFuncion))+1,0,IF($E62&lt;=(MONTH(AX$16)-MONTH(InicioFuncion)+12*(YEAR(AX$16)-YEAR(InicioFuncion)))-$D62+IF($D62&lt;&gt;"",1,0),0,IF(AX$15&gt;$B$9,0,IF((YEAR($B$8)-YEAR($B$7))*12+(MONTH($B$8)-MONTH($B$7))+$E$14&lt;=AW$14,$C62))))*HLOOKUP(YEAR(AX$16),$E$3:$O$5,3,0),0)))</f>
        <v>28285.021215508754</v>
      </c>
      <c r="AY62" s="1">
        <f t="shared" ref="AY62:AY65" si="400">+(IF($A62="","",IF(AY$15&gt;12,IF($D62&gt;MONTH(AY$16)-MONTH(InicioFuncion)+12*(YEAR(AY$16)-YEAR(InicioFuncion))+1,0,IF($E62&lt;=(MONTH(AY$16)-MONTH(InicioFuncion)+12*(YEAR(AY$16)-YEAR(InicioFuncion)))-$D62+IF($D62&lt;&gt;"",1,0),0,IF(AY$15&gt;$B$9,0,IF((YEAR($B$8)-YEAR($B$7))*12+(MONTH($B$8)-MONTH($B$7))+$E$14&lt;=AX$14,$C62))))*HLOOKUP(YEAR(AY$16),$E$3:$O$5,3,0),0)))</f>
        <v>28285.021215508754</v>
      </c>
      <c r="AZ62" s="1">
        <f t="shared" ref="AZ62:AZ65" si="401">+(IF($A62="","",IF(AZ$15&gt;12,IF($D62&gt;MONTH(AZ$16)-MONTH(InicioFuncion)+12*(YEAR(AZ$16)-YEAR(InicioFuncion))+1,0,IF($E62&lt;=(MONTH(AZ$16)-MONTH(InicioFuncion)+12*(YEAR(AZ$16)-YEAR(InicioFuncion)))-$D62+IF($D62&lt;&gt;"",1,0),0,IF(AZ$15&gt;$B$9,0,IF((YEAR($B$8)-YEAR($B$7))*12+(MONTH($B$8)-MONTH($B$7))+$E$14&lt;=AY$14,$C62))))*HLOOKUP(YEAR(AZ$16),$E$3:$O$5,3,0),0)))</f>
        <v>28285.021215508754</v>
      </c>
      <c r="BA62" s="1">
        <f t="shared" ref="BA62:BA65" si="402">+(IF($A62="","",IF(BA$15&gt;12,IF($D62&gt;MONTH(BA$16)-MONTH(InicioFuncion)+12*(YEAR(BA$16)-YEAR(InicioFuncion))+1,0,IF($E62&lt;=(MONTH(BA$16)-MONTH(InicioFuncion)+12*(YEAR(BA$16)-YEAR(InicioFuncion)))-$D62+IF($D62&lt;&gt;"",1,0),0,IF(BA$15&gt;$B$9,0,IF((YEAR($B$8)-YEAR($B$7))*12+(MONTH($B$8)-MONTH($B$7))+$E$14&lt;=AZ$14,$C62))))*HLOOKUP(YEAR(BA$16),$E$3:$O$5,3,0),0)))</f>
        <v>28285.021215508754</v>
      </c>
      <c r="BB62" s="1">
        <f t="shared" ref="BB62:BB65" si="403">+(IF($A62="","",IF(BB$15&gt;12,IF($D62&gt;MONTH(BB$16)-MONTH(InicioFuncion)+12*(YEAR(BB$16)-YEAR(InicioFuncion))+1,0,IF($E62&lt;=(MONTH(BB$16)-MONTH(InicioFuncion)+12*(YEAR(BB$16)-YEAR(InicioFuncion)))-$D62+IF($D62&lt;&gt;"",1,0),0,IF(BB$15&gt;$B$9,0,IF((YEAR($B$8)-YEAR($B$7))*12+(MONTH($B$8)-MONTH($B$7))+$E$14&lt;=BA$14,$C62))))*HLOOKUP(YEAR(BB$16),$E$3:$O$5,3,0),0)))</f>
        <v>28285.021215508754</v>
      </c>
      <c r="BC62" s="1">
        <f t="shared" ref="BC62:BC65" si="404">+(IF($A62="","",IF(BC$15&gt;12,IF($D62&gt;MONTH(BC$16)-MONTH(InicioFuncion)+12*(YEAR(BC$16)-YEAR(InicioFuncion))+1,0,IF($E62&lt;=(MONTH(BC$16)-MONTH(InicioFuncion)+12*(YEAR(BC$16)-YEAR(InicioFuncion)))-$D62+IF($D62&lt;&gt;"",1,0),0,IF(BC$15&gt;$B$9,0,IF((YEAR($B$8)-YEAR($B$7))*12+(MONTH($B$8)-MONTH($B$7))+$E$14&lt;=BB$14,$C62))))*HLOOKUP(YEAR(BC$16),$E$3:$O$5,3,0),0)))</f>
        <v>28285.021215508754</v>
      </c>
      <c r="BD62" s="1">
        <f t="shared" ref="BD62:BD65" si="405">+(IF($A62="","",IF(BD$15&gt;12,IF($D62&gt;MONTH(BD$16)-MONTH(InicioFuncion)+12*(YEAR(BD$16)-YEAR(InicioFuncion))+1,0,IF($E62&lt;=(MONTH(BD$16)-MONTH(InicioFuncion)+12*(YEAR(BD$16)-YEAR(InicioFuncion)))-$D62+IF($D62&lt;&gt;"",1,0),0,IF(BD$15&gt;$B$9,0,IF((YEAR($B$8)-YEAR($B$7))*12+(MONTH($B$8)-MONTH($B$7))+$E$14&lt;=BC$14,$C62))))*HLOOKUP(YEAR(BD$16),$E$3:$O$5,3,0),0)))</f>
        <v>28285.021215508754</v>
      </c>
      <c r="BE62" s="1">
        <f t="shared" ref="BE62:BE65" si="406">+(IF($A62="","",IF(BE$15&gt;12,IF($D62&gt;MONTH(BE$16)-MONTH(InicioFuncion)+12*(YEAR(BE$16)-YEAR(InicioFuncion))+1,0,IF($E62&lt;=(MONTH(BE$16)-MONTH(InicioFuncion)+12*(YEAR(BE$16)-YEAR(InicioFuncion)))-$D62+IF($D62&lt;&gt;"",1,0),0,IF(BE$15&gt;$B$9,0,IF((YEAR($B$8)-YEAR($B$7))*12+(MONTH($B$8)-MONTH($B$7))+$E$14&lt;=BD$14,$C62))))*HLOOKUP(YEAR(BE$16),$E$3:$O$5,3,0),0)))</f>
        <v>28285.021215508754</v>
      </c>
      <c r="BF62" s="1">
        <f t="shared" ref="BF62:BF65" si="407">+(IF($A62="","",IF(BF$15&gt;12,IF($D62&gt;MONTH(BF$16)-MONTH(InicioFuncion)+12*(YEAR(BF$16)-YEAR(InicioFuncion))+1,0,IF($E62&lt;=(MONTH(BF$16)-MONTH(InicioFuncion)+12*(YEAR(BF$16)-YEAR(InicioFuncion)))-$D62+IF($D62&lt;&gt;"",1,0),0,IF(BF$15&gt;$B$9,0,IF((YEAR($B$8)-YEAR($B$7))*12+(MONTH($B$8)-MONTH($B$7))+$E$14&lt;=BE$14,$C62))))*HLOOKUP(YEAR(BF$16),$E$3:$O$5,3,0),0)))</f>
        <v>28285.021215508754</v>
      </c>
      <c r="BG62" s="1">
        <f t="shared" ref="BG62:BG65" si="408">+(IF($A62="","",IF(BG$15&gt;12,IF($D62&gt;MONTH(BG$16)-MONTH(InicioFuncion)+12*(YEAR(BG$16)-YEAR(InicioFuncion))+1,0,IF($E62&lt;=(MONTH(BG$16)-MONTH(InicioFuncion)+12*(YEAR(BG$16)-YEAR(InicioFuncion)))-$D62+IF($D62&lt;&gt;"",1,0),0,IF(BG$15&gt;$B$9,0,IF((YEAR($B$8)-YEAR($B$7))*12+(MONTH($B$8)-MONTH($B$7))+$E$14&lt;=BF$14,$C62))))*HLOOKUP(YEAR(BG$16),$E$3:$O$5,3,0),0)))</f>
        <v>28285.021215508754</v>
      </c>
      <c r="BH62" s="1">
        <f t="shared" ref="BH62:BH65" si="409">+(IF($A62="","",IF(BH$15&gt;12,IF($D62&gt;MONTH(BH$16)-MONTH(InicioFuncion)+12*(YEAR(BH$16)-YEAR(InicioFuncion))+1,0,IF($E62&lt;=(MONTH(BH$16)-MONTH(InicioFuncion)+12*(YEAR(BH$16)-YEAR(InicioFuncion)))-$D62+IF($D62&lt;&gt;"",1,0),0,IF(BH$15&gt;$B$9,0,IF((YEAR($B$8)-YEAR($B$7))*12+(MONTH($B$8)-MONTH($B$7))+$E$14&lt;=BG$14,$C62))))*HLOOKUP(YEAR(BH$16),$E$3:$O$5,3,0),0)))</f>
        <v>28285.021215508754</v>
      </c>
      <c r="BI62" s="1">
        <f t="shared" ref="BI62:BI65" si="410">+(IF($A62="","",IF(BI$15&gt;12,IF($D62&gt;MONTH(BI$16)-MONTH(InicioFuncion)+12*(YEAR(BI$16)-YEAR(InicioFuncion))+1,0,IF($E62&lt;=(MONTH(BI$16)-MONTH(InicioFuncion)+12*(YEAR(BI$16)-YEAR(InicioFuncion)))-$D62+IF($D62&lt;&gt;"",1,0),0,IF(BI$15&gt;$B$9,0,IF((YEAR($B$8)-YEAR($B$7))*12+(MONTH($B$8)-MONTH($B$7))+$E$14&lt;=BH$14,$C62))))*HLOOKUP(YEAR(BI$16),$E$3:$O$5,3,0),0)))</f>
        <v>28285.021215508754</v>
      </c>
      <c r="BJ62" s="1">
        <f t="shared" ref="BJ62:BJ65" si="411">+(IF($A62="","",IF(BJ$15&gt;12,IF($D62&gt;MONTH(BJ$16)-MONTH(InicioFuncion)+12*(YEAR(BJ$16)-YEAR(InicioFuncion))+1,0,IF($E62&lt;=(MONTH(BJ$16)-MONTH(InicioFuncion)+12*(YEAR(BJ$16)-YEAR(InicioFuncion)))-$D62+IF($D62&lt;&gt;"",1,0),0,IF(BJ$15&gt;$B$9,0,IF((YEAR($B$8)-YEAR($B$7))*12+(MONTH($B$8)-MONTH($B$7))+$E$14&lt;=BI$14,$C62))))*HLOOKUP(YEAR(BJ$16),$E$3:$O$5,3,0),0)))</f>
        <v>29133.571851974015</v>
      </c>
      <c r="BK62" s="1">
        <f t="shared" ref="BK62:BK65" si="412">+(IF($A62="","",IF(BK$15&gt;12,IF($D62&gt;MONTH(BK$16)-MONTH(InicioFuncion)+12*(YEAR(BK$16)-YEAR(InicioFuncion))+1,0,IF($E62&lt;=(MONTH(BK$16)-MONTH(InicioFuncion)+12*(YEAR(BK$16)-YEAR(InicioFuncion)))-$D62+IF($D62&lt;&gt;"",1,0),0,IF(BK$15&gt;$B$9,0,IF((YEAR($B$8)-YEAR($B$7))*12+(MONTH($B$8)-MONTH($B$7))+$E$14&lt;=BJ$14,$C62))))*HLOOKUP(YEAR(BK$16),$E$3:$O$5,3,0),0)))</f>
        <v>0</v>
      </c>
      <c r="BL62" s="1">
        <f t="shared" ref="BL62:BL65" si="413">+(IF($A62="","",IF(BL$15&gt;12,IF($D62&gt;MONTH(BL$16)-MONTH(InicioFuncion)+12*(YEAR(BL$16)-YEAR(InicioFuncion))+1,0,IF($E62&lt;=(MONTH(BL$16)-MONTH(InicioFuncion)+12*(YEAR(BL$16)-YEAR(InicioFuncion)))-$D62+IF($D62&lt;&gt;"",1,0),0,IF(BL$15&gt;$B$9,0,IF((YEAR($B$8)-YEAR($B$7))*12+(MONTH($B$8)-MONTH($B$7))+$E$14&lt;=BK$14,$C62))))*HLOOKUP(YEAR(BL$16),$E$3:$O$5,3,0),0)))</f>
        <v>0</v>
      </c>
      <c r="BM62" s="1">
        <f t="shared" ref="BM62:BM65" si="414">+(IF($A62="","",IF(BM$15&gt;12,IF($D62&gt;MONTH(BM$16)-MONTH(InicioFuncion)+12*(YEAR(BM$16)-YEAR(InicioFuncion))+1,0,IF($E62&lt;=(MONTH(BM$16)-MONTH(InicioFuncion)+12*(YEAR(BM$16)-YEAR(InicioFuncion)))-$D62+IF($D62&lt;&gt;"",1,0),0,IF(BM$15&gt;$B$9,0,IF((YEAR($B$8)-YEAR($B$7))*12+(MONTH($B$8)-MONTH($B$7))+$E$14&lt;=BL$14,$C62))))*HLOOKUP(YEAR(BM$16),$E$3:$O$5,3,0),0)))</f>
        <v>0</v>
      </c>
      <c r="BN62" s="1">
        <f t="shared" ref="BN62:BN65" si="415">+(IF($A62="","",IF(BN$15&gt;12,IF($D62&gt;MONTH(BN$16)-MONTH(InicioFuncion)+12*(YEAR(BN$16)-YEAR(InicioFuncion))+1,0,IF($E62&lt;=(MONTH(BN$16)-MONTH(InicioFuncion)+12*(YEAR(BN$16)-YEAR(InicioFuncion)))-$D62+IF($D62&lt;&gt;"",1,0),0,IF(BN$15&gt;$B$9,0,IF((YEAR($B$8)-YEAR($B$7))*12+(MONTH($B$8)-MONTH($B$7))+$E$14&lt;=BM$14,$C62))))*HLOOKUP(YEAR(BN$16),$E$3:$O$5,3,0),0)))</f>
        <v>0</v>
      </c>
      <c r="BO62" s="1">
        <f t="shared" ref="BO62:BO65" si="416">+(IF($A62="","",IF(BO$15&gt;12,IF($D62&gt;MONTH(BO$16)-MONTH(InicioFuncion)+12*(YEAR(BO$16)-YEAR(InicioFuncion))+1,0,IF($E62&lt;=(MONTH(BO$16)-MONTH(InicioFuncion)+12*(YEAR(BO$16)-YEAR(InicioFuncion)))-$D62+IF($D62&lt;&gt;"",1,0),0,IF(BO$15&gt;$B$9,0,IF((YEAR($B$8)-YEAR($B$7))*12+(MONTH($B$8)-MONTH($B$7))+$E$14&lt;=BN$14,$C62))))*HLOOKUP(YEAR(BO$16),$E$3:$O$5,3,0),0)))</f>
        <v>0</v>
      </c>
      <c r="BP62" s="1">
        <f t="shared" ref="BP62:BP65" si="417">+(IF($A62="","",IF(BP$15&gt;12,IF($D62&gt;MONTH(BP$16)-MONTH(InicioFuncion)+12*(YEAR(BP$16)-YEAR(InicioFuncion))+1,0,IF($E62&lt;=(MONTH(BP$16)-MONTH(InicioFuncion)+12*(YEAR(BP$16)-YEAR(InicioFuncion)))-$D62+IF($D62&lt;&gt;"",1,0),0,IF(BP$15&gt;$B$9,0,IF((YEAR($B$8)-YEAR($B$7))*12+(MONTH($B$8)-MONTH($B$7))+$E$14&lt;=BO$14,$C62))))*HLOOKUP(YEAR(BP$16),$E$3:$O$5,3,0),0)))</f>
        <v>0</v>
      </c>
      <c r="BQ62" s="1">
        <f t="shared" ref="BQ62:BQ65" si="418">+(IF($A62="","",IF(BQ$15&gt;12,IF($D62&gt;MONTH(BQ$16)-MONTH(InicioFuncion)+12*(YEAR(BQ$16)-YEAR(InicioFuncion))+1,0,IF($E62&lt;=(MONTH(BQ$16)-MONTH(InicioFuncion)+12*(YEAR(BQ$16)-YEAR(InicioFuncion)))-$D62+IF($D62&lt;&gt;"",1,0),0,IF(BQ$15&gt;$B$9,0,IF((YEAR($B$8)-YEAR($B$7))*12+(MONTH($B$8)-MONTH($B$7))+$E$14&lt;=BP$14,$C62))))*HLOOKUP(YEAR(BQ$16),$E$3:$O$5,3,0),0)))</f>
        <v>0</v>
      </c>
      <c r="BR62" s="1">
        <f t="shared" ref="BR62:BR65" si="419">+(IF($A62="","",IF(BR$15&gt;12,IF($D62&gt;MONTH(BR$16)-MONTH(InicioFuncion)+12*(YEAR(BR$16)-YEAR(InicioFuncion))+1,0,IF($E62&lt;=(MONTH(BR$16)-MONTH(InicioFuncion)+12*(YEAR(BR$16)-YEAR(InicioFuncion)))-$D62+IF($D62&lt;&gt;"",1,0),0,IF(BR$15&gt;$B$9,0,IF((YEAR($B$8)-YEAR($B$7))*12+(MONTH($B$8)-MONTH($B$7))+$E$14&lt;=BQ$14,$C62))))*HLOOKUP(YEAR(BR$16),$E$3:$O$5,3,0),0)))</f>
        <v>0</v>
      </c>
      <c r="BS62" s="1">
        <f t="shared" ref="BS62:BS65" si="420">+(IF($A62="","",IF(BS$15&gt;12,IF($D62&gt;MONTH(BS$16)-MONTH(InicioFuncion)+12*(YEAR(BS$16)-YEAR(InicioFuncion))+1,0,IF($E62&lt;=(MONTH(BS$16)-MONTH(InicioFuncion)+12*(YEAR(BS$16)-YEAR(InicioFuncion)))-$D62+IF($D62&lt;&gt;"",1,0),0,IF(BS$15&gt;$B$9,0,IF((YEAR($B$8)-YEAR($B$7))*12+(MONTH($B$8)-MONTH($B$7))+$E$14&lt;=BR$14,$C62))))*HLOOKUP(YEAR(BS$16),$E$3:$O$5,3,0),0)))</f>
        <v>0</v>
      </c>
      <c r="BT62" s="1">
        <f t="shared" ref="BT62:BT65" si="421">+(IF($A62="","",IF(BT$15&gt;12,IF($D62&gt;MONTH(BT$16)-MONTH(InicioFuncion)+12*(YEAR(BT$16)-YEAR(InicioFuncion))+1,0,IF($E62&lt;=(MONTH(BT$16)-MONTH(InicioFuncion)+12*(YEAR(BT$16)-YEAR(InicioFuncion)))-$D62+IF($D62&lt;&gt;"",1,0),0,IF(BT$15&gt;$B$9,0,IF((YEAR($B$8)-YEAR($B$7))*12+(MONTH($B$8)-MONTH($B$7))+$E$14&lt;=BS$14,$C62))))*HLOOKUP(YEAR(BT$16),$E$3:$O$5,3,0),0)))</f>
        <v>0</v>
      </c>
      <c r="BU62" s="1">
        <f t="shared" ref="BU62:BU65" si="422">+(IF($A62="","",IF(BU$15&gt;12,IF($D62&gt;MONTH(BU$16)-MONTH(InicioFuncion)+12*(YEAR(BU$16)-YEAR(InicioFuncion))+1,0,IF($E62&lt;=(MONTH(BU$16)-MONTH(InicioFuncion)+12*(YEAR(BU$16)-YEAR(InicioFuncion)))-$D62+IF($D62&lt;&gt;"",1,0),0,IF(BU$15&gt;$B$9,0,IF((YEAR($B$8)-YEAR($B$7))*12+(MONTH($B$8)-MONTH($B$7))+$E$14&lt;=BT$14,$C62))))*HLOOKUP(YEAR(BU$16),$E$3:$O$5,3,0),0)))</f>
        <v>0</v>
      </c>
      <c r="BV62" s="1">
        <f t="shared" ref="BV62:BV65" si="423">+(IF($A62="","",IF(BV$15&gt;12,IF($D62&gt;MONTH(BV$16)-MONTH(InicioFuncion)+12*(YEAR(BV$16)-YEAR(InicioFuncion))+1,0,IF($E62&lt;=(MONTH(BV$16)-MONTH(InicioFuncion)+12*(YEAR(BV$16)-YEAR(InicioFuncion)))-$D62+IF($D62&lt;&gt;"",1,0),0,IF(BV$15&gt;$B$9,0,IF((YEAR($B$8)-YEAR($B$7))*12+(MONTH($B$8)-MONTH($B$7))+$E$14&lt;=BU$14,$C62))))*HLOOKUP(YEAR(BV$16),$E$3:$O$5,3,0),0)))</f>
        <v>0</v>
      </c>
      <c r="BW62" s="1">
        <f t="shared" ref="BW62:BW65" si="424">+(IF($A62="","",IF(BW$15&gt;12,IF($D62&gt;MONTH(BW$16)-MONTH(InicioFuncion)+12*(YEAR(BW$16)-YEAR(InicioFuncion))+1,0,IF($E62&lt;=(MONTH(BW$16)-MONTH(InicioFuncion)+12*(YEAR(BW$16)-YEAR(InicioFuncion)))-$D62+IF($D62&lt;&gt;"",1,0),0,IF(BW$15&gt;$B$9,0,IF((YEAR($B$8)-YEAR($B$7))*12+(MONTH($B$8)-MONTH($B$7))+$E$14&lt;=BV$14,$C62))))*HLOOKUP(YEAR(BW$16),$E$3:$O$5,3,0),0)))</f>
        <v>0</v>
      </c>
      <c r="BX62" s="1">
        <f t="shared" ref="BX62:BX65" si="425">+(IF($A62="","",IF(BX$15&gt;12,IF($D62&gt;MONTH(BX$16)-MONTH(InicioFuncion)+12*(YEAR(BX$16)-YEAR(InicioFuncion))+1,0,IF($E62&lt;=(MONTH(BX$16)-MONTH(InicioFuncion)+12*(YEAR(BX$16)-YEAR(InicioFuncion)))-$D62+IF($D62&lt;&gt;"",1,0),0,IF(BX$15&gt;$B$9,0,IF((YEAR($B$8)-YEAR($B$7))*12+(MONTH($B$8)-MONTH($B$7))+$E$14&lt;=BW$14,$C62))))*HLOOKUP(YEAR(BX$16),$E$3:$O$5,3,0),0)))</f>
        <v>0</v>
      </c>
      <c r="BY62" s="1">
        <f t="shared" ref="BY62:BY65" si="426">+(IF($A62="","",IF(BY$15&gt;12,IF($D62&gt;MONTH(BY$16)-MONTH(InicioFuncion)+12*(YEAR(BY$16)-YEAR(InicioFuncion))+1,0,IF($E62&lt;=(MONTH(BY$16)-MONTH(InicioFuncion)+12*(YEAR(BY$16)-YEAR(InicioFuncion)))-$D62+IF($D62&lt;&gt;"",1,0),0,IF(BY$15&gt;$B$9,0,IF((YEAR($B$8)-YEAR($B$7))*12+(MONTH($B$8)-MONTH($B$7))+$E$14&lt;=BX$14,$C62))))*HLOOKUP(YEAR(BY$16),$E$3:$O$5,3,0),0)))</f>
        <v>0</v>
      </c>
      <c r="BZ62" s="1">
        <f t="shared" ref="BZ62:BZ65" si="427">+(IF($A62="","",IF(BZ$15&gt;12,IF($D62&gt;MONTH(BZ$16)-MONTH(InicioFuncion)+12*(YEAR(BZ$16)-YEAR(InicioFuncion))+1,0,IF($E62&lt;=(MONTH(BZ$16)-MONTH(InicioFuncion)+12*(YEAR(BZ$16)-YEAR(InicioFuncion)))-$D62+IF($D62&lt;&gt;"",1,0),0,IF(BZ$15&gt;$B$9,0,IF((YEAR($B$8)-YEAR($B$7))*12+(MONTH($B$8)-MONTH($B$7))+$E$14&lt;=BY$14,$C62))))*HLOOKUP(YEAR(BZ$16),$E$3:$O$5,3,0),0)))</f>
        <v>0</v>
      </c>
      <c r="CA62" s="1">
        <f t="shared" ref="CA62:CA65" si="428">+(IF($A62="","",IF(CA$15&gt;12,IF($D62&gt;MONTH(CA$16)-MONTH(InicioFuncion)+12*(YEAR(CA$16)-YEAR(InicioFuncion))+1,0,IF($E62&lt;=(MONTH(CA$16)-MONTH(InicioFuncion)+12*(YEAR(CA$16)-YEAR(InicioFuncion)))-$D62+IF($D62&lt;&gt;"",1,0),0,IF(CA$15&gt;$B$9,0,IF((YEAR($B$8)-YEAR($B$7))*12+(MONTH($B$8)-MONTH($B$7))+$E$14&lt;=BZ$14,$C62))))*HLOOKUP(YEAR(CA$16),$E$3:$O$5,3,0),0)))</f>
        <v>0</v>
      </c>
      <c r="CB62" s="1">
        <f t="shared" ref="CB62:CB65" si="429">+(IF($A62="","",IF(CB$15&gt;12,IF($D62&gt;MONTH(CB$16)-MONTH(InicioFuncion)+12*(YEAR(CB$16)-YEAR(InicioFuncion))+1,0,IF($E62&lt;=(MONTH(CB$16)-MONTH(InicioFuncion)+12*(YEAR(CB$16)-YEAR(InicioFuncion)))-$D62+IF($D62&lt;&gt;"",1,0),0,IF(CB$15&gt;$B$9,0,IF((YEAR($B$8)-YEAR($B$7))*12+(MONTH($B$8)-MONTH($B$7))+$E$14&lt;=CA$14,$C62))))*HLOOKUP(YEAR(CB$16),$E$3:$O$5,3,0),0)))</f>
        <v>0</v>
      </c>
      <c r="CC62" s="1">
        <f t="shared" ref="CC62:CC65" si="430">+(IF($A62="","",IF(CC$15&gt;12,IF($D62&gt;MONTH(CC$16)-MONTH(InicioFuncion)+12*(YEAR(CC$16)-YEAR(InicioFuncion))+1,0,IF($E62&lt;=(MONTH(CC$16)-MONTH(InicioFuncion)+12*(YEAR(CC$16)-YEAR(InicioFuncion)))-$D62+IF($D62&lt;&gt;"",1,0),0,IF(CC$15&gt;$B$9,0,IF((YEAR($B$8)-YEAR($B$7))*12+(MONTH($B$8)-MONTH($B$7))+$E$14&lt;=CB$14,$C62))))*HLOOKUP(YEAR(CC$16),$E$3:$O$5,3,0),0)))</f>
        <v>0</v>
      </c>
      <c r="CD62" s="1">
        <f t="shared" ref="CD62:CD65" si="431">+(IF($A62="","",IF(CD$15&gt;12,IF($D62&gt;MONTH(CD$16)-MONTH(InicioFuncion)+12*(YEAR(CD$16)-YEAR(InicioFuncion))+1,0,IF($E62&lt;=(MONTH(CD$16)-MONTH(InicioFuncion)+12*(YEAR(CD$16)-YEAR(InicioFuncion)))-$D62+IF($D62&lt;&gt;"",1,0),0,IF(CD$15&gt;$B$9,0,IF((YEAR($B$8)-YEAR($B$7))*12+(MONTH($B$8)-MONTH($B$7))+$E$14&lt;=CC$14,$C62))))*HLOOKUP(YEAR(CD$16),$E$3:$O$5,3,0),0)))</f>
        <v>0</v>
      </c>
      <c r="CE62" s="1">
        <f t="shared" ref="CE62:CE65" si="432">+(IF($A62="","",IF(CE$15&gt;12,IF($D62&gt;MONTH(CE$16)-MONTH(InicioFuncion)+12*(YEAR(CE$16)-YEAR(InicioFuncion))+1,0,IF($E62&lt;=(MONTH(CE$16)-MONTH(InicioFuncion)+12*(YEAR(CE$16)-YEAR(InicioFuncion)))-$D62+IF($D62&lt;&gt;"",1,0),0,IF(CE$15&gt;$B$9,0,IF((YEAR($B$8)-YEAR($B$7))*12+(MONTH($B$8)-MONTH($B$7))+$E$14&lt;=CD$14,$C62))))*HLOOKUP(YEAR(CE$16),$E$3:$O$5,3,0),0)))</f>
        <v>0</v>
      </c>
      <c r="CF62" s="1">
        <f t="shared" ref="CF62:CF65" si="433">+(IF($A62="","",IF(CF$15&gt;12,IF($D62&gt;MONTH(CF$16)-MONTH(InicioFuncion)+12*(YEAR(CF$16)-YEAR(InicioFuncion))+1,0,IF($E62&lt;=(MONTH(CF$16)-MONTH(InicioFuncion)+12*(YEAR(CF$16)-YEAR(InicioFuncion)))-$D62+IF($D62&lt;&gt;"",1,0),0,IF(CF$15&gt;$B$9,0,IF((YEAR($B$8)-YEAR($B$7))*12+(MONTH($B$8)-MONTH($B$7))+$E$14&lt;=CE$14,$C62))))*HLOOKUP(YEAR(CF$16),$E$3:$O$5,3,0),0)))</f>
        <v>0</v>
      </c>
      <c r="CG62" s="1">
        <f t="shared" ref="CG62:CG65" si="434">+(IF($A62="","",IF(CG$15&gt;12,IF($D62&gt;MONTH(CG$16)-MONTH(InicioFuncion)+12*(YEAR(CG$16)-YEAR(InicioFuncion))+1,0,IF($E62&lt;=(MONTH(CG$16)-MONTH(InicioFuncion)+12*(YEAR(CG$16)-YEAR(InicioFuncion)))-$D62+IF($D62&lt;&gt;"",1,0),0,IF(CG$15&gt;$B$9,0,IF((YEAR($B$8)-YEAR($B$7))*12+(MONTH($B$8)-MONTH($B$7))+$E$14&lt;=CF$14,$C62))))*HLOOKUP(YEAR(CG$16),$E$3:$O$5,3,0),0)))</f>
        <v>0</v>
      </c>
      <c r="CH62" s="1">
        <f t="shared" ref="CH62:CH65" si="435">+(IF($A62="","",IF(CH$15&gt;12,IF($D62&gt;MONTH(CH$16)-MONTH(InicioFuncion)+12*(YEAR(CH$16)-YEAR(InicioFuncion))+1,0,IF($E62&lt;=(MONTH(CH$16)-MONTH(InicioFuncion)+12*(YEAR(CH$16)-YEAR(InicioFuncion)))-$D62+IF($D62&lt;&gt;"",1,0),0,IF(CH$15&gt;$B$9,0,IF((YEAR($B$8)-YEAR($B$7))*12+(MONTH($B$8)-MONTH($B$7))+$E$14&lt;=CG$14,$C62))))*HLOOKUP(YEAR(CH$16),$E$3:$O$5,3,0),0)))</f>
        <v>0</v>
      </c>
      <c r="CI62" s="1">
        <f t="shared" ref="CI62:CI65" si="436">+(IF($A62="","",IF(CI$15&gt;12,IF($D62&gt;MONTH(CI$16)-MONTH(InicioFuncion)+12*(YEAR(CI$16)-YEAR(InicioFuncion))+1,0,IF($E62&lt;=(MONTH(CI$16)-MONTH(InicioFuncion)+12*(YEAR(CI$16)-YEAR(InicioFuncion)))-$D62+IF($D62&lt;&gt;"",1,0),0,IF(CI$15&gt;$B$9,0,IF((YEAR($B$8)-YEAR($B$7))*12+(MONTH($B$8)-MONTH($B$7))+$E$14&lt;=CH$14,$C62))))*HLOOKUP(YEAR(CI$16),$E$3:$O$5,3,0),0)))</f>
        <v>0</v>
      </c>
      <c r="CJ62" s="1">
        <f t="shared" ref="CJ62:CJ65" si="437">+(IF($A62="","",IF(CJ$15&gt;12,IF($D62&gt;MONTH(CJ$16)-MONTH(InicioFuncion)+12*(YEAR(CJ$16)-YEAR(InicioFuncion))+1,0,IF($E62&lt;=(MONTH(CJ$16)-MONTH(InicioFuncion)+12*(YEAR(CJ$16)-YEAR(InicioFuncion)))-$D62+IF($D62&lt;&gt;"",1,0),0,IF(CJ$15&gt;$B$9,0,IF((YEAR($B$8)-YEAR($B$7))*12+(MONTH($B$8)-MONTH($B$7))+$E$14&lt;=CI$14,$C62))))*HLOOKUP(YEAR(CJ$16),$E$3:$O$5,3,0),0)))</f>
        <v>0</v>
      </c>
      <c r="CK62" s="1">
        <f t="shared" ref="CK62:CK65" si="438">+(IF($A62="","",IF(CK$15&gt;12,IF($D62&gt;MONTH(CK$16)-MONTH(InicioFuncion)+12*(YEAR(CK$16)-YEAR(InicioFuncion))+1,0,IF($E62&lt;=(MONTH(CK$16)-MONTH(InicioFuncion)+12*(YEAR(CK$16)-YEAR(InicioFuncion)))-$D62+IF($D62&lt;&gt;"",1,0),0,IF(CK$15&gt;$B$9,0,IF((YEAR($B$8)-YEAR($B$7))*12+(MONTH($B$8)-MONTH($B$7))+$E$14&lt;=CJ$14,$C62))))*HLOOKUP(YEAR(CK$16),$E$3:$O$5,3,0),0)))</f>
        <v>0</v>
      </c>
      <c r="CL62" s="1">
        <f t="shared" ref="CL62:CL65" si="439">+(IF($A62="","",IF(CL$15&gt;12,IF($D62&gt;MONTH(CL$16)-MONTH(InicioFuncion)+12*(YEAR(CL$16)-YEAR(InicioFuncion))+1,0,IF($E62&lt;=(MONTH(CL$16)-MONTH(InicioFuncion)+12*(YEAR(CL$16)-YEAR(InicioFuncion)))-$D62+IF($D62&lt;&gt;"",1,0),0,IF(CL$15&gt;$B$9,0,IF((YEAR($B$8)-YEAR($B$7))*12+(MONTH($B$8)-MONTH($B$7))+$E$14&lt;=CK$14,$C62))))*HLOOKUP(YEAR(CL$16),$E$3:$O$5,3,0),0)))</f>
        <v>0</v>
      </c>
      <c r="CM62" s="1">
        <f t="shared" ref="CM62:CM65" si="440">+(IF($A62="","",IF(CM$15&gt;12,IF($D62&gt;MONTH(CM$16)-MONTH(InicioFuncion)+12*(YEAR(CM$16)-YEAR(InicioFuncion))+1,0,IF($E62&lt;=(MONTH(CM$16)-MONTH(InicioFuncion)+12*(YEAR(CM$16)-YEAR(InicioFuncion)))-$D62+IF($D62&lt;&gt;"",1,0),0,IF(CM$15&gt;$B$9,0,IF((YEAR($B$8)-YEAR($B$7))*12+(MONTH($B$8)-MONTH($B$7))+$E$14&lt;=CL$14,$C62))))*HLOOKUP(YEAR(CM$16),$E$3:$O$5,3,0),0)))</f>
        <v>0</v>
      </c>
      <c r="CN62" s="1">
        <f t="shared" ref="CN62:CN65" si="441">+(IF($A62="","",IF(CN$15&gt;12,IF($D62&gt;MONTH(CN$16)-MONTH(InicioFuncion)+12*(YEAR(CN$16)-YEAR(InicioFuncion))+1,0,IF($E62&lt;=(MONTH(CN$16)-MONTH(InicioFuncion)+12*(YEAR(CN$16)-YEAR(InicioFuncion)))-$D62+IF($D62&lt;&gt;"",1,0),0,IF(CN$15&gt;$B$9,0,IF((YEAR($B$8)-YEAR($B$7))*12+(MONTH($B$8)-MONTH($B$7))+$E$14&lt;=CM$14,$C62))))*HLOOKUP(YEAR(CN$16),$E$3:$O$5,3,0),0)))</f>
        <v>0</v>
      </c>
      <c r="CO62" s="1">
        <f t="shared" ref="CO62:CO65" si="442">+(IF($A62="","",IF(CO$15&gt;12,IF($D62&gt;MONTH(CO$16)-MONTH(InicioFuncion)+12*(YEAR(CO$16)-YEAR(InicioFuncion))+1,0,IF($E62&lt;=(MONTH(CO$16)-MONTH(InicioFuncion)+12*(YEAR(CO$16)-YEAR(InicioFuncion)))-$D62+IF($D62&lt;&gt;"",1,0),0,IF(CO$15&gt;$B$9,0,IF((YEAR($B$8)-YEAR($B$7))*12+(MONTH($B$8)-MONTH($B$7))+$E$14&lt;=CN$14,$C62))))*HLOOKUP(YEAR(CO$16),$E$3:$O$5,3,0),0)))</f>
        <v>0</v>
      </c>
      <c r="CP62" s="1">
        <f t="shared" ref="CP62:CP65" si="443">+(IF($A62="","",IF(CP$15&gt;12,IF($D62&gt;MONTH(CP$16)-MONTH(InicioFuncion)+12*(YEAR(CP$16)-YEAR(InicioFuncion))+1,0,IF($E62&lt;=(MONTH(CP$16)-MONTH(InicioFuncion)+12*(YEAR(CP$16)-YEAR(InicioFuncion)))-$D62+IF($D62&lt;&gt;"",1,0),0,IF(CP$15&gt;$B$9,0,IF((YEAR($B$8)-YEAR($B$7))*12+(MONTH($B$8)-MONTH($B$7))+$E$14&lt;=CO$14,$C62))))*HLOOKUP(YEAR(CP$16),$E$3:$O$5,3,0),0)))</f>
        <v>0</v>
      </c>
      <c r="CQ62" s="1">
        <f t="shared" ref="CQ62:CQ65" si="444">+(IF($A62="","",IF(CQ$15&gt;12,IF($D62&gt;MONTH(CQ$16)-MONTH(InicioFuncion)+12*(YEAR(CQ$16)-YEAR(InicioFuncion))+1,0,IF($E62&lt;=(MONTH(CQ$16)-MONTH(InicioFuncion)+12*(YEAR(CQ$16)-YEAR(InicioFuncion)))-$D62+IF($D62&lt;&gt;"",1,0),0,IF(CQ$15&gt;$B$9,0,IF((YEAR($B$8)-YEAR($B$7))*12+(MONTH($B$8)-MONTH($B$7))+$E$14&lt;=CP$14,$C62))))*HLOOKUP(YEAR(CQ$16),$E$3:$O$5,3,0),0)))</f>
        <v>0</v>
      </c>
      <c r="CR62" s="1">
        <f t="shared" ref="CR62:CR65" si="445">+(IF($A62="","",IF(CR$15&gt;12,IF($D62&gt;MONTH(CR$16)-MONTH(InicioFuncion)+12*(YEAR(CR$16)-YEAR(InicioFuncion))+1,0,IF($E62&lt;=(MONTH(CR$16)-MONTH(InicioFuncion)+12*(YEAR(CR$16)-YEAR(InicioFuncion)))-$D62+IF($D62&lt;&gt;"",1,0),0,IF(CR$15&gt;$B$9,0,IF((YEAR($B$8)-YEAR($B$7))*12+(MONTH($B$8)-MONTH($B$7))+$E$14&lt;=CQ$14,$C62))))*HLOOKUP(YEAR(CR$16),$E$3:$O$5,3,0),0)))</f>
        <v>0</v>
      </c>
      <c r="CS62" s="1">
        <f t="shared" ref="CS62:CS65" si="446">+(IF($A62="","",IF(CS$15&gt;12,IF($D62&gt;MONTH(CS$16)-MONTH(InicioFuncion)+12*(YEAR(CS$16)-YEAR(InicioFuncion))+1,0,IF($E62&lt;=(MONTH(CS$16)-MONTH(InicioFuncion)+12*(YEAR(CS$16)-YEAR(InicioFuncion)))-$D62+IF($D62&lt;&gt;"",1,0),0,IF(CS$15&gt;$B$9,0,IF((YEAR($B$8)-YEAR($B$7))*12+(MONTH($B$8)-MONTH($B$7))+$E$14&lt;=CR$14,$C62))))*HLOOKUP(YEAR(CS$16),$E$3:$O$5,3,0),0)))</f>
        <v>0</v>
      </c>
      <c r="CT62" s="1">
        <f t="shared" ref="CT62:CT65" si="447">+(IF($A62="","",IF(CT$15&gt;12,IF($D62&gt;MONTH(CT$16)-MONTH(InicioFuncion)+12*(YEAR(CT$16)-YEAR(InicioFuncion))+1,0,IF($E62&lt;=(MONTH(CT$16)-MONTH(InicioFuncion)+12*(YEAR(CT$16)-YEAR(InicioFuncion)))-$D62+IF($D62&lt;&gt;"",1,0),0,IF(CT$15&gt;$B$9,0,IF((YEAR($B$8)-YEAR($B$7))*12+(MONTH($B$8)-MONTH($B$7))+$E$14&lt;=CS$14,$C62))))*HLOOKUP(YEAR(CT$16),$E$3:$O$5,3,0),0)))</f>
        <v>0</v>
      </c>
      <c r="CU62" s="1">
        <f t="shared" ref="CU62:CU65" si="448">+(IF($A62="","",IF(CU$15&gt;12,IF($D62&gt;MONTH(CU$16)-MONTH(InicioFuncion)+12*(YEAR(CU$16)-YEAR(InicioFuncion))+1,0,IF($E62&lt;=(MONTH(CU$16)-MONTH(InicioFuncion)+12*(YEAR(CU$16)-YEAR(InicioFuncion)))-$D62+IF($D62&lt;&gt;"",1,0),0,IF(CU$15&gt;$B$9,0,IF((YEAR($B$8)-YEAR($B$7))*12+(MONTH($B$8)-MONTH($B$7))+$E$14&lt;=CT$14,$C62))))*HLOOKUP(YEAR(CU$16),$E$3:$O$5,3,0),0)))</f>
        <v>0</v>
      </c>
      <c r="CV62" s="1">
        <f t="shared" ref="CV62:CV65" si="449">+(IF($A62="","",IF(CV$15&gt;12,IF($D62&gt;MONTH(CV$16)-MONTH(InicioFuncion)+12*(YEAR(CV$16)-YEAR(InicioFuncion))+1,0,IF($E62&lt;=(MONTH(CV$16)-MONTH(InicioFuncion)+12*(YEAR(CV$16)-YEAR(InicioFuncion)))-$D62+IF($D62&lt;&gt;"",1,0),0,IF(CV$15&gt;$B$9,0,IF((YEAR($B$8)-YEAR($B$7))*12+(MONTH($B$8)-MONTH($B$7))+$E$14&lt;=CU$14,$C62))))*HLOOKUP(YEAR(CV$16),$E$3:$O$5,3,0),0)))</f>
        <v>0</v>
      </c>
      <c r="CW62" s="1">
        <f t="shared" ref="CW62:CW65" si="450">+(IF($A62="","",IF(CW$15&gt;12,IF($D62&gt;MONTH(CW$16)-MONTH(InicioFuncion)+12*(YEAR(CW$16)-YEAR(InicioFuncion))+1,0,IF($E62&lt;=(MONTH(CW$16)-MONTH(InicioFuncion)+12*(YEAR(CW$16)-YEAR(InicioFuncion)))-$D62+IF($D62&lt;&gt;"",1,0),0,IF(CW$15&gt;$B$9,0,IF((YEAR($B$8)-YEAR($B$7))*12+(MONTH($B$8)-MONTH($B$7))+$E$14&lt;=CV$14,$C62))))*HLOOKUP(YEAR(CW$16),$E$3:$O$5,3,0),0)))</f>
        <v>0</v>
      </c>
      <c r="CX62" s="1">
        <f t="shared" ref="CX62:CX65" si="451">+(IF($A62="","",IF(CX$15&gt;12,IF($D62&gt;MONTH(CX$16)-MONTH(InicioFuncion)+12*(YEAR(CX$16)-YEAR(InicioFuncion))+1,0,IF($E62&lt;=(MONTH(CX$16)-MONTH(InicioFuncion)+12*(YEAR(CX$16)-YEAR(InicioFuncion)))-$D62+IF($D62&lt;&gt;"",1,0),0,IF(CX$15&gt;$B$9,0,IF((YEAR($B$8)-YEAR($B$7))*12+(MONTH($B$8)-MONTH($B$7))+$E$14&lt;=CW$14,$C62))))*HLOOKUP(YEAR(CX$16),$E$3:$O$5,3,0),0)))</f>
        <v>0</v>
      </c>
      <c r="CY62" s="1">
        <f t="shared" ref="CY62:CY65" si="452">+(IF($A62="","",IF(CY$15&gt;12,IF($D62&gt;MONTH(CY$16)-MONTH(InicioFuncion)+12*(YEAR(CY$16)-YEAR(InicioFuncion))+1,0,IF($E62&lt;=(MONTH(CY$16)-MONTH(InicioFuncion)+12*(YEAR(CY$16)-YEAR(InicioFuncion)))-$D62+IF($D62&lt;&gt;"",1,0),0,IF(CY$15&gt;$B$9,0,IF((YEAR($B$8)-YEAR($B$7))*12+(MONTH($B$8)-MONTH($B$7))+$E$14&lt;=CX$14,$C62))))*HLOOKUP(YEAR(CY$16),$E$3:$O$5,3,0),0)))</f>
        <v>0</v>
      </c>
      <c r="CZ62" s="1">
        <f t="shared" ref="CZ62:CZ65" si="453">+(IF($A62="","",IF(CZ$15&gt;12,IF($D62&gt;MONTH(CZ$16)-MONTH(InicioFuncion)+12*(YEAR(CZ$16)-YEAR(InicioFuncion))+1,0,IF($E62&lt;=(MONTH(CZ$16)-MONTH(InicioFuncion)+12*(YEAR(CZ$16)-YEAR(InicioFuncion)))-$D62+IF($D62&lt;&gt;"",1,0),0,IF(CZ$15&gt;$B$9,0,IF((YEAR($B$8)-YEAR($B$7))*12+(MONTH($B$8)-MONTH($B$7))+$E$14&lt;=CY$14,$C62))))*HLOOKUP(YEAR(CZ$16),$E$3:$O$5,3,0),0)))</f>
        <v>0</v>
      </c>
      <c r="DA62" s="1">
        <f t="shared" ref="DA62:DA65" si="454">+(IF($A62="","",IF(DA$15&gt;12,IF($D62&gt;MONTH(DA$16)-MONTH(InicioFuncion)+12*(YEAR(DA$16)-YEAR(InicioFuncion))+1,0,IF($E62&lt;=(MONTH(DA$16)-MONTH(InicioFuncion)+12*(YEAR(DA$16)-YEAR(InicioFuncion)))-$D62+IF($D62&lt;&gt;"",1,0),0,IF(DA$15&gt;$B$9,0,IF((YEAR($B$8)-YEAR($B$7))*12+(MONTH($B$8)-MONTH($B$7))+$E$14&lt;=CZ$14,$C62))))*HLOOKUP(YEAR(DA$16),$E$3:$O$5,3,0),0)))</f>
        <v>0</v>
      </c>
      <c r="DB62" s="1">
        <f t="shared" ref="DB62:DB65" si="455">+(IF($A62="","",IF(DB$15&gt;12,IF($D62&gt;MONTH(DB$16)-MONTH(InicioFuncion)+12*(YEAR(DB$16)-YEAR(InicioFuncion))+1,0,IF($E62&lt;=(MONTH(DB$16)-MONTH(InicioFuncion)+12*(YEAR(DB$16)-YEAR(InicioFuncion)))-$D62+IF($D62&lt;&gt;"",1,0),0,IF(DB$15&gt;$B$9,0,IF((YEAR($B$8)-YEAR($B$7))*12+(MONTH($B$8)-MONTH($B$7))+$E$14&lt;=DA$14,$C62))))*HLOOKUP(YEAR(DB$16),$E$3:$O$5,3,0),0)))</f>
        <v>0</v>
      </c>
      <c r="DC62" s="1">
        <f t="shared" ref="DC62:DC65" si="456">+(IF($A62="","",IF(DC$15&gt;12,IF($D62&gt;MONTH(DC$16)-MONTH(InicioFuncion)+12*(YEAR(DC$16)-YEAR(InicioFuncion))+1,0,IF($E62&lt;=(MONTH(DC$16)-MONTH(InicioFuncion)+12*(YEAR(DC$16)-YEAR(InicioFuncion)))-$D62+IF($D62&lt;&gt;"",1,0),0,IF(DC$15&gt;$B$9,0,IF((YEAR($B$8)-YEAR($B$7))*12+(MONTH($B$8)-MONTH($B$7))+$E$14&lt;=DB$14,$C62))))*HLOOKUP(YEAR(DC$16),$E$3:$O$5,3,0),0)))</f>
        <v>0</v>
      </c>
      <c r="DD62" s="1">
        <f t="shared" ref="DD62:DD65" si="457">+(IF($A62="","",IF(DD$15&gt;12,IF($D62&gt;MONTH(DD$16)-MONTH(InicioFuncion)+12*(YEAR(DD$16)-YEAR(InicioFuncion))+1,0,IF($E62&lt;=(MONTH(DD$16)-MONTH(InicioFuncion)+12*(YEAR(DD$16)-YEAR(InicioFuncion)))-$D62+IF($D62&lt;&gt;"",1,0),0,IF(DD$15&gt;$B$9,0,IF((YEAR($B$8)-YEAR($B$7))*12+(MONTH($B$8)-MONTH($B$7))+$E$14&lt;=DC$14,$C62))))*HLOOKUP(YEAR(DD$16),$E$3:$O$5,3,0),0)))</f>
        <v>0</v>
      </c>
      <c r="DE62" s="1">
        <f t="shared" ref="DE62:DE65" si="458">+(IF($A62="","",IF(DE$15&gt;12,IF($D62&gt;MONTH(DE$16)-MONTH(InicioFuncion)+12*(YEAR(DE$16)-YEAR(InicioFuncion))+1,0,IF($E62&lt;=(MONTH(DE$16)-MONTH(InicioFuncion)+12*(YEAR(DE$16)-YEAR(InicioFuncion)))-$D62+IF($D62&lt;&gt;"",1,0),0,IF(DE$15&gt;$B$9,0,IF((YEAR($B$8)-YEAR($B$7))*12+(MONTH($B$8)-MONTH($B$7))+$E$14&lt;=DD$14,$C62))))*HLOOKUP(YEAR(DE$16),$E$3:$O$5,3,0),0)))</f>
        <v>0</v>
      </c>
      <c r="DF62" s="1">
        <f t="shared" ref="DF62:DF65" si="459">+(IF($A62="","",IF(DF$15&gt;12,IF($D62&gt;MONTH(DF$16)-MONTH(InicioFuncion)+12*(YEAR(DF$16)-YEAR(InicioFuncion))+1,0,IF($E62&lt;=(MONTH(DF$16)-MONTH(InicioFuncion)+12*(YEAR(DF$16)-YEAR(InicioFuncion)))-$D62+IF($D62&lt;&gt;"",1,0),0,IF(DF$15&gt;$B$9,0,IF((YEAR($B$8)-YEAR($B$7))*12+(MONTH($B$8)-MONTH($B$7))+$E$14&lt;=DE$14,$C62))))*HLOOKUP(YEAR(DF$16),$E$3:$O$5,3,0),0)))</f>
        <v>0</v>
      </c>
      <c r="DG62" s="1">
        <f t="shared" ref="DG62:DG65" si="460">+(IF($A62="","",IF(DG$15&gt;12,IF($D62&gt;MONTH(DG$16)-MONTH(InicioFuncion)+12*(YEAR(DG$16)-YEAR(InicioFuncion))+1,0,IF($E62&lt;=(MONTH(DG$16)-MONTH(InicioFuncion)+12*(YEAR(DG$16)-YEAR(InicioFuncion)))-$D62+IF($D62&lt;&gt;"",1,0),0,IF(DG$15&gt;$B$9,0,IF((YEAR($B$8)-YEAR($B$7))*12+(MONTH($B$8)-MONTH($B$7))+$E$14&lt;=DF$14,$C62))))*HLOOKUP(YEAR(DG$16),$E$3:$O$5,3,0),0)))</f>
        <v>0</v>
      </c>
      <c r="DH62" s="1">
        <f t="shared" ref="DH62:DH65" si="461">+(IF($A62="","",IF(DH$15&gt;12,IF($D62&gt;MONTH(DH$16)-MONTH(InicioFuncion)+12*(YEAR(DH$16)-YEAR(InicioFuncion))+1,0,IF($E62&lt;=(MONTH(DH$16)-MONTH(InicioFuncion)+12*(YEAR(DH$16)-YEAR(InicioFuncion)))-$D62+IF($D62&lt;&gt;"",1,0),0,IF(DH$15&gt;$B$9,0,IF((YEAR($B$8)-YEAR($B$7))*12+(MONTH($B$8)-MONTH($B$7))+$E$14&lt;=DG$14,$C62))))*HLOOKUP(YEAR(DH$16),$E$3:$O$5,3,0),0)))</f>
        <v>0</v>
      </c>
      <c r="DI62" s="1">
        <f t="shared" ref="DI62:DI65" si="462">+(IF($A62="","",IF(DI$15&gt;12,IF($D62&gt;MONTH(DI$16)-MONTH(InicioFuncion)+12*(YEAR(DI$16)-YEAR(InicioFuncion))+1,0,IF($E62&lt;=(MONTH(DI$16)-MONTH(InicioFuncion)+12*(YEAR(DI$16)-YEAR(InicioFuncion)))-$D62+IF($D62&lt;&gt;"",1,0),0,IF(DI$15&gt;$B$9,0,IF((YEAR($B$8)-YEAR($B$7))*12+(MONTH($B$8)-MONTH($B$7))+$E$14&lt;=DH$14,$C62))))*HLOOKUP(YEAR(DI$16),$E$3:$O$5,3,0),0)))</f>
        <v>0</v>
      </c>
      <c r="DJ62" s="1">
        <f t="shared" ref="DJ62:DJ65" si="463">+(IF($A62="","",IF(DJ$15&gt;12,IF($D62&gt;MONTH(DJ$16)-MONTH(InicioFuncion)+12*(YEAR(DJ$16)-YEAR(InicioFuncion))+1,0,IF($E62&lt;=(MONTH(DJ$16)-MONTH(InicioFuncion)+12*(YEAR(DJ$16)-YEAR(InicioFuncion)))-$D62+IF($D62&lt;&gt;"",1,0),0,IF(DJ$15&gt;$B$9,0,IF((YEAR($B$8)-YEAR($B$7))*12+(MONTH($B$8)-MONTH($B$7))+$E$14&lt;=DI$14,$C62))))*HLOOKUP(YEAR(DJ$16),$E$3:$O$5,3,0),0)))</f>
        <v>0</v>
      </c>
      <c r="DK62" s="1">
        <f t="shared" ref="DK62:DK65" si="464">+(IF($A62="","",IF(DK$15&gt;12,IF($D62&gt;MONTH(DK$16)-MONTH(InicioFuncion)+12*(YEAR(DK$16)-YEAR(InicioFuncion))+1,0,IF($E62&lt;=(MONTH(DK$16)-MONTH(InicioFuncion)+12*(YEAR(DK$16)-YEAR(InicioFuncion)))-$D62+IF($D62&lt;&gt;"",1,0),0,IF(DK$15&gt;$B$9,0,IF((YEAR($B$8)-YEAR($B$7))*12+(MONTH($B$8)-MONTH($B$7))+$E$14&lt;=DJ$14,$C62))))*HLOOKUP(YEAR(DK$16),$E$3:$O$5,3,0),0)))</f>
        <v>0</v>
      </c>
      <c r="DL62" s="1">
        <f t="shared" ref="DL62:DL65" si="465">+(IF($A62="","",IF(DL$15&gt;12,IF($D62&gt;MONTH(DL$16)-MONTH(InicioFuncion)+12*(YEAR(DL$16)-YEAR(InicioFuncion))+1,0,IF($E62&lt;=(MONTH(DL$16)-MONTH(InicioFuncion)+12*(YEAR(DL$16)-YEAR(InicioFuncion)))-$D62+IF($D62&lt;&gt;"",1,0),0,IF(DL$15&gt;$B$9,0,IF((YEAR($B$8)-YEAR($B$7))*12+(MONTH($B$8)-MONTH($B$7))+$E$14&lt;=DK$14,$C62))))*HLOOKUP(YEAR(DL$16),$E$3:$O$5,3,0),0)))</f>
        <v>0</v>
      </c>
      <c r="DM62" s="1">
        <f t="shared" ref="DM62:DM65" si="466">+(IF($A62="","",IF(DM$15&gt;12,IF($D62&gt;MONTH(DM$16)-MONTH(InicioFuncion)+12*(YEAR(DM$16)-YEAR(InicioFuncion))+1,0,IF($E62&lt;=(MONTH(DM$16)-MONTH(InicioFuncion)+12*(YEAR(DM$16)-YEAR(InicioFuncion)))-$D62+IF($D62&lt;&gt;"",1,0),0,IF(DM$15&gt;$B$9,0,IF((YEAR($B$8)-YEAR($B$7))*12+(MONTH($B$8)-MONTH($B$7))+$E$14&lt;=DL$14,$C62))))*HLOOKUP(YEAR(DM$16),$E$3:$O$5,3,0),0)))</f>
        <v>0</v>
      </c>
      <c r="DN62" s="1">
        <f t="shared" ref="DN62:DN65" si="467">+(IF($A62="","",IF(DN$15&gt;12,IF($D62&gt;MONTH(DN$16)-MONTH(InicioFuncion)+12*(YEAR(DN$16)-YEAR(InicioFuncion))+1,0,IF($E62&lt;=(MONTH(DN$16)-MONTH(InicioFuncion)+12*(YEAR(DN$16)-YEAR(InicioFuncion)))-$D62+IF($D62&lt;&gt;"",1,0),0,IF(DN$15&gt;$B$9,0,IF((YEAR($B$8)-YEAR($B$7))*12+(MONTH($B$8)-MONTH($B$7))+$E$14&lt;=DM$14,$C62))))*HLOOKUP(YEAR(DN$16),$E$3:$O$5,3,0),0)))</f>
        <v>0</v>
      </c>
      <c r="DO62" s="1">
        <f t="shared" ref="DO62:DO65" si="468">+(IF($A62="","",IF(DO$15&gt;12,IF($D62&gt;MONTH(DO$16)-MONTH(InicioFuncion)+12*(YEAR(DO$16)-YEAR(InicioFuncion))+1,0,IF($E62&lt;=(MONTH(DO$16)-MONTH(InicioFuncion)+12*(YEAR(DO$16)-YEAR(InicioFuncion)))-$D62+IF($D62&lt;&gt;"",1,0),0,IF(DO$15&gt;$B$9,0,IF((YEAR($B$8)-YEAR($B$7))*12+(MONTH($B$8)-MONTH($B$7))+$E$14&lt;=DN$14,$C62))))*HLOOKUP(YEAR(DO$16),$E$3:$O$5,3,0),0)))</f>
        <v>0</v>
      </c>
      <c r="DP62" s="1">
        <f t="shared" ref="DP62:DP65" si="469">+(IF($A62="","",IF(DP$15&gt;12,IF($D62&gt;MONTH(DP$16)-MONTH(InicioFuncion)+12*(YEAR(DP$16)-YEAR(InicioFuncion))+1,0,IF($E62&lt;=(MONTH(DP$16)-MONTH(InicioFuncion)+12*(YEAR(DP$16)-YEAR(InicioFuncion)))-$D62+IF($D62&lt;&gt;"",1,0),0,IF(DP$15&gt;$B$9,0,IF((YEAR($B$8)-YEAR($B$7))*12+(MONTH($B$8)-MONTH($B$7))+$E$14&lt;=DO$14,$C62))))*HLOOKUP(YEAR(DP$16),$E$3:$O$5,3,0),0)))</f>
        <v>0</v>
      </c>
      <c r="DQ62" s="1">
        <f t="shared" ref="DQ62:DQ65" si="470">+(IF($A62="","",IF(DQ$15&gt;12,IF($D62&gt;MONTH(DQ$16)-MONTH(InicioFuncion)+12*(YEAR(DQ$16)-YEAR(InicioFuncion))+1,0,IF($E62&lt;=(MONTH(DQ$16)-MONTH(InicioFuncion)+12*(YEAR(DQ$16)-YEAR(InicioFuncion)))-$D62+IF($D62&lt;&gt;"",1,0),0,IF(DQ$15&gt;$B$9,0,IF((YEAR($B$8)-YEAR($B$7))*12+(MONTH($B$8)-MONTH($B$7))+$E$14&lt;=DP$14,$C62))))*HLOOKUP(YEAR(DQ$16),$E$3:$O$5,3,0),0)))</f>
        <v>0</v>
      </c>
      <c r="DR62" s="1">
        <f t="shared" ref="DR62:DR65" si="471">+(IF($A62="","",IF(DR$15&gt;12,IF($D62&gt;MONTH(DR$16)-MONTH(InicioFuncion)+12*(YEAR(DR$16)-YEAR(InicioFuncion))+1,0,IF($E62&lt;=(MONTH(DR$16)-MONTH(InicioFuncion)+12*(YEAR(DR$16)-YEAR(InicioFuncion)))-$D62+IF($D62&lt;&gt;"",1,0),0,IF(DR$15&gt;$B$9,0,IF((YEAR($B$8)-YEAR($B$7))*12+(MONTH($B$8)-MONTH($B$7))+$E$14&lt;=DQ$14,$C62))))*HLOOKUP(YEAR(DR$16),$E$3:$O$5,3,0),0)))</f>
        <v>0</v>
      </c>
      <c r="DS62" s="1">
        <f t="shared" ref="DS62:DS65" si="472">+(IF($A62="","",IF(DS$15&gt;12,IF($D62&gt;MONTH(DS$16)-MONTH(InicioFuncion)+12*(YEAR(DS$16)-YEAR(InicioFuncion))+1,0,IF($E62&lt;=(MONTH(DS$16)-MONTH(InicioFuncion)+12*(YEAR(DS$16)-YEAR(InicioFuncion)))-$D62+IF($D62&lt;&gt;"",1,0),0,IF(DS$15&gt;$B$9,0,IF((YEAR($B$8)-YEAR($B$7))*12+(MONTH($B$8)-MONTH($B$7))+$E$14&lt;=DR$14,$C62))))*HLOOKUP(YEAR(DS$16),$E$3:$O$5,3,0),0)))</f>
        <v>0</v>
      </c>
      <c r="DT62" s="1">
        <f t="shared" ref="DT62:DT65" si="473">+(IF($A62="","",IF(DT$15&gt;12,IF($D62&gt;MONTH(DT$16)-MONTH(InicioFuncion)+12*(YEAR(DT$16)-YEAR(InicioFuncion))+1,0,IF($E62&lt;=(MONTH(DT$16)-MONTH(InicioFuncion)+12*(YEAR(DT$16)-YEAR(InicioFuncion)))-$D62+IF($D62&lt;&gt;"",1,0),0,IF(DT$15&gt;$B$9,0,IF((YEAR($B$8)-YEAR($B$7))*12+(MONTH($B$8)-MONTH($B$7))+$E$14&lt;=DS$14,$C62))))*HLOOKUP(YEAR(DT$16),$E$3:$O$5,3,0),0)))</f>
        <v>0</v>
      </c>
      <c r="DU62" s="1">
        <f t="shared" ref="DU62:DU65" si="474">+(IF($A62="","",IF(DU$15&gt;12,IF($D62&gt;MONTH(DU$16)-MONTH(InicioFuncion)+12*(YEAR(DU$16)-YEAR(InicioFuncion))+1,0,IF($E62&lt;=(MONTH(DU$16)-MONTH(InicioFuncion)+12*(YEAR(DU$16)-YEAR(InicioFuncion)))-$D62+IF($D62&lt;&gt;"",1,0),0,IF(DU$15&gt;$B$9,0,IF((YEAR($B$8)-YEAR($B$7))*12+(MONTH($B$8)-MONTH($B$7))+$E$14&lt;=DT$14,$C62))))*HLOOKUP(YEAR(DU$16),$E$3:$O$5,3,0),0)))</f>
        <v>0</v>
      </c>
      <c r="DV62" s="1">
        <f t="shared" ref="DV62:DV65" si="475">+(IF($A62="","",IF(DV$15&gt;12,IF($D62&gt;MONTH(DV$16)-MONTH(InicioFuncion)+12*(YEAR(DV$16)-YEAR(InicioFuncion))+1,0,IF($E62&lt;=(MONTH(DV$16)-MONTH(InicioFuncion)+12*(YEAR(DV$16)-YEAR(InicioFuncion)))-$D62+IF($D62&lt;&gt;"",1,0),0,IF(DV$15&gt;$B$9,0,IF((YEAR($B$8)-YEAR($B$7))*12+(MONTH($B$8)-MONTH($B$7))+$E$14&lt;=DU$14,$C62))))*HLOOKUP(YEAR(DV$16),$E$3:$O$5,3,0),0)))</f>
        <v>0</v>
      </c>
    </row>
    <row r="63" spans="1:126" x14ac:dyDescent="0.25">
      <c r="A63" s="26" t="s">
        <v>31</v>
      </c>
      <c r="B63" s="26"/>
      <c r="C63" s="36">
        <f>+IF(Tipologia_Campo="FTTH",0,SUMIFS(ValoresMercado,Conceptos,A63,Relacion,DistanciaEnergiaSTD,Tipo,TipoEspecifico,KW_Energia,KW_EnergiaValor)/12)</f>
        <v>282224.565</v>
      </c>
      <c r="D63" s="35"/>
      <c r="E63" s="35">
        <f t="shared" si="37"/>
        <v>56</v>
      </c>
      <c r="F63" s="1">
        <f t="shared" si="328"/>
        <v>0</v>
      </c>
      <c r="G63" s="1">
        <f t="shared" si="356"/>
        <v>0</v>
      </c>
      <c r="H63" s="1">
        <f t="shared" si="357"/>
        <v>0</v>
      </c>
      <c r="I63" s="1">
        <f t="shared" si="358"/>
        <v>0</v>
      </c>
      <c r="J63" s="1">
        <f t="shared" si="359"/>
        <v>0</v>
      </c>
      <c r="K63" s="1">
        <f t="shared" si="360"/>
        <v>0</v>
      </c>
      <c r="L63" s="1">
        <f t="shared" si="361"/>
        <v>0</v>
      </c>
      <c r="M63" s="1">
        <f t="shared" si="362"/>
        <v>0</v>
      </c>
      <c r="N63" s="1">
        <f t="shared" si="363"/>
        <v>0</v>
      </c>
      <c r="O63" s="1">
        <f t="shared" si="364"/>
        <v>0</v>
      </c>
      <c r="P63" s="1">
        <f t="shared" si="365"/>
        <v>0</v>
      </c>
      <c r="Q63" s="1">
        <f t="shared" si="366"/>
        <v>0</v>
      </c>
      <c r="R63" s="1">
        <f t="shared" si="367"/>
        <v>0</v>
      </c>
      <c r="S63" s="1">
        <f t="shared" si="368"/>
        <v>290691.30194999999</v>
      </c>
      <c r="T63" s="1">
        <f t="shared" si="369"/>
        <v>290691.30194999999</v>
      </c>
      <c r="U63" s="1">
        <f t="shared" si="370"/>
        <v>290691.30194999999</v>
      </c>
      <c r="V63" s="1">
        <f t="shared" si="371"/>
        <v>290691.30194999999</v>
      </c>
      <c r="W63" s="1">
        <f t="shared" si="372"/>
        <v>290691.30194999999</v>
      </c>
      <c r="X63" s="1">
        <f t="shared" si="373"/>
        <v>290691.30194999999</v>
      </c>
      <c r="Y63" s="1">
        <f t="shared" si="374"/>
        <v>290691.30194999999</v>
      </c>
      <c r="Z63" s="1">
        <f t="shared" si="375"/>
        <v>299412.04100849997</v>
      </c>
      <c r="AA63" s="1">
        <f t="shared" si="376"/>
        <v>299412.04100849997</v>
      </c>
      <c r="AB63" s="1">
        <f t="shared" si="377"/>
        <v>299412.04100849997</v>
      </c>
      <c r="AC63" s="1">
        <f t="shared" si="378"/>
        <v>299412.04100849997</v>
      </c>
      <c r="AD63" s="1">
        <f t="shared" si="379"/>
        <v>299412.04100849997</v>
      </c>
      <c r="AE63" s="1">
        <f t="shared" si="380"/>
        <v>299412.04100849997</v>
      </c>
      <c r="AF63" s="1">
        <f t="shared" si="381"/>
        <v>299412.04100849997</v>
      </c>
      <c r="AG63" s="1">
        <f t="shared" si="382"/>
        <v>299412.04100849997</v>
      </c>
      <c r="AH63" s="1">
        <f t="shared" si="383"/>
        <v>299412.04100849997</v>
      </c>
      <c r="AI63" s="1">
        <f t="shared" si="384"/>
        <v>299412.04100849997</v>
      </c>
      <c r="AJ63" s="1">
        <f t="shared" si="385"/>
        <v>299412.04100849997</v>
      </c>
      <c r="AK63" s="1">
        <f t="shared" si="386"/>
        <v>299412.04100849997</v>
      </c>
      <c r="AL63" s="1">
        <f t="shared" si="387"/>
        <v>308394.40223875502</v>
      </c>
      <c r="AM63" s="1">
        <f t="shared" si="388"/>
        <v>308394.40223875502</v>
      </c>
      <c r="AN63" s="1">
        <f t="shared" si="389"/>
        <v>308394.40223875502</v>
      </c>
      <c r="AO63" s="1">
        <f t="shared" si="390"/>
        <v>308394.40223875502</v>
      </c>
      <c r="AP63" s="1">
        <f t="shared" si="391"/>
        <v>308394.40223875502</v>
      </c>
      <c r="AQ63" s="1">
        <f t="shared" si="392"/>
        <v>308394.40223875502</v>
      </c>
      <c r="AR63" s="1">
        <f t="shared" si="393"/>
        <v>308394.40223875502</v>
      </c>
      <c r="AS63" s="1">
        <f t="shared" si="394"/>
        <v>308394.40223875502</v>
      </c>
      <c r="AT63" s="1">
        <f t="shared" si="395"/>
        <v>308394.40223875502</v>
      </c>
      <c r="AU63" s="1">
        <f t="shared" si="396"/>
        <v>308394.40223875502</v>
      </c>
      <c r="AV63" s="1">
        <f t="shared" si="397"/>
        <v>308394.40223875502</v>
      </c>
      <c r="AW63" s="1">
        <f t="shared" si="398"/>
        <v>308394.40223875502</v>
      </c>
      <c r="AX63" s="1">
        <f t="shared" si="399"/>
        <v>317646.23430591769</v>
      </c>
      <c r="AY63" s="1">
        <f t="shared" si="400"/>
        <v>317646.23430591769</v>
      </c>
      <c r="AZ63" s="1">
        <f t="shared" si="401"/>
        <v>317646.23430591769</v>
      </c>
      <c r="BA63" s="1">
        <f t="shared" si="402"/>
        <v>317646.23430591769</v>
      </c>
      <c r="BB63" s="1">
        <f t="shared" si="403"/>
        <v>317646.23430591769</v>
      </c>
      <c r="BC63" s="1">
        <f t="shared" si="404"/>
        <v>317646.23430591769</v>
      </c>
      <c r="BD63" s="1">
        <f t="shared" si="405"/>
        <v>317646.23430591769</v>
      </c>
      <c r="BE63" s="1">
        <f t="shared" si="406"/>
        <v>317646.23430591769</v>
      </c>
      <c r="BF63" s="1">
        <f t="shared" si="407"/>
        <v>317646.23430591769</v>
      </c>
      <c r="BG63" s="1">
        <f t="shared" si="408"/>
        <v>317646.23430591769</v>
      </c>
      <c r="BH63" s="1">
        <f t="shared" si="409"/>
        <v>317646.23430591769</v>
      </c>
      <c r="BI63" s="1">
        <f t="shared" si="410"/>
        <v>317646.23430591769</v>
      </c>
      <c r="BJ63" s="1">
        <f t="shared" si="411"/>
        <v>327175.6213350952</v>
      </c>
      <c r="BK63" s="1">
        <f t="shared" si="412"/>
        <v>0</v>
      </c>
      <c r="BL63" s="1">
        <f t="shared" si="413"/>
        <v>0</v>
      </c>
      <c r="BM63" s="1">
        <f t="shared" si="414"/>
        <v>0</v>
      </c>
      <c r="BN63" s="1">
        <f t="shared" si="415"/>
        <v>0</v>
      </c>
      <c r="BO63" s="1">
        <f t="shared" si="416"/>
        <v>0</v>
      </c>
      <c r="BP63" s="1">
        <f t="shared" si="417"/>
        <v>0</v>
      </c>
      <c r="BQ63" s="1">
        <f t="shared" si="418"/>
        <v>0</v>
      </c>
      <c r="BR63" s="1">
        <f t="shared" si="419"/>
        <v>0</v>
      </c>
      <c r="BS63" s="1">
        <f t="shared" si="420"/>
        <v>0</v>
      </c>
      <c r="BT63" s="1">
        <f t="shared" si="421"/>
        <v>0</v>
      </c>
      <c r="BU63" s="1">
        <f t="shared" si="422"/>
        <v>0</v>
      </c>
      <c r="BV63" s="1">
        <f t="shared" si="423"/>
        <v>0</v>
      </c>
      <c r="BW63" s="1">
        <f t="shared" si="424"/>
        <v>0</v>
      </c>
      <c r="BX63" s="1">
        <f t="shared" si="425"/>
        <v>0</v>
      </c>
      <c r="BY63" s="1">
        <f t="shared" si="426"/>
        <v>0</v>
      </c>
      <c r="BZ63" s="1">
        <f t="shared" si="427"/>
        <v>0</v>
      </c>
      <c r="CA63" s="1">
        <f t="shared" si="428"/>
        <v>0</v>
      </c>
      <c r="CB63" s="1">
        <f t="shared" si="429"/>
        <v>0</v>
      </c>
      <c r="CC63" s="1">
        <f t="shared" si="430"/>
        <v>0</v>
      </c>
      <c r="CD63" s="1">
        <f t="shared" si="431"/>
        <v>0</v>
      </c>
      <c r="CE63" s="1">
        <f t="shared" si="432"/>
        <v>0</v>
      </c>
      <c r="CF63" s="1">
        <f t="shared" si="433"/>
        <v>0</v>
      </c>
      <c r="CG63" s="1">
        <f t="shared" si="434"/>
        <v>0</v>
      </c>
      <c r="CH63" s="1">
        <f t="shared" si="435"/>
        <v>0</v>
      </c>
      <c r="CI63" s="1">
        <f t="shared" si="436"/>
        <v>0</v>
      </c>
      <c r="CJ63" s="1">
        <f t="shared" si="437"/>
        <v>0</v>
      </c>
      <c r="CK63" s="1">
        <f t="shared" si="438"/>
        <v>0</v>
      </c>
      <c r="CL63" s="1">
        <f t="shared" si="439"/>
        <v>0</v>
      </c>
      <c r="CM63" s="1">
        <f t="shared" si="440"/>
        <v>0</v>
      </c>
      <c r="CN63" s="1">
        <f t="shared" si="441"/>
        <v>0</v>
      </c>
      <c r="CO63" s="1">
        <f t="shared" si="442"/>
        <v>0</v>
      </c>
      <c r="CP63" s="1">
        <f t="shared" si="443"/>
        <v>0</v>
      </c>
      <c r="CQ63" s="1">
        <f t="shared" si="444"/>
        <v>0</v>
      </c>
      <c r="CR63" s="1">
        <f t="shared" si="445"/>
        <v>0</v>
      </c>
      <c r="CS63" s="1">
        <f t="shared" si="446"/>
        <v>0</v>
      </c>
      <c r="CT63" s="1">
        <f t="shared" si="447"/>
        <v>0</v>
      </c>
      <c r="CU63" s="1">
        <f t="shared" si="448"/>
        <v>0</v>
      </c>
      <c r="CV63" s="1">
        <f t="shared" si="449"/>
        <v>0</v>
      </c>
      <c r="CW63" s="1">
        <f t="shared" si="450"/>
        <v>0</v>
      </c>
      <c r="CX63" s="1">
        <f t="shared" si="451"/>
        <v>0</v>
      </c>
      <c r="CY63" s="1">
        <f t="shared" si="452"/>
        <v>0</v>
      </c>
      <c r="CZ63" s="1">
        <f t="shared" si="453"/>
        <v>0</v>
      </c>
      <c r="DA63" s="1">
        <f t="shared" si="454"/>
        <v>0</v>
      </c>
      <c r="DB63" s="1">
        <f t="shared" si="455"/>
        <v>0</v>
      </c>
      <c r="DC63" s="1">
        <f t="shared" si="456"/>
        <v>0</v>
      </c>
      <c r="DD63" s="1">
        <f t="shared" si="457"/>
        <v>0</v>
      </c>
      <c r="DE63" s="1">
        <f t="shared" si="458"/>
        <v>0</v>
      </c>
      <c r="DF63" s="1">
        <f t="shared" si="459"/>
        <v>0</v>
      </c>
      <c r="DG63" s="1">
        <f t="shared" si="460"/>
        <v>0</v>
      </c>
      <c r="DH63" s="1">
        <f t="shared" si="461"/>
        <v>0</v>
      </c>
      <c r="DI63" s="1">
        <f t="shared" si="462"/>
        <v>0</v>
      </c>
      <c r="DJ63" s="1">
        <f t="shared" si="463"/>
        <v>0</v>
      </c>
      <c r="DK63" s="1">
        <f t="shared" si="464"/>
        <v>0</v>
      </c>
      <c r="DL63" s="1">
        <f t="shared" si="465"/>
        <v>0</v>
      </c>
      <c r="DM63" s="1">
        <f t="shared" si="466"/>
        <v>0</v>
      </c>
      <c r="DN63" s="1">
        <f t="shared" si="467"/>
        <v>0</v>
      </c>
      <c r="DO63" s="1">
        <f t="shared" si="468"/>
        <v>0</v>
      </c>
      <c r="DP63" s="1">
        <f t="shared" si="469"/>
        <v>0</v>
      </c>
      <c r="DQ63" s="1">
        <f t="shared" si="470"/>
        <v>0</v>
      </c>
      <c r="DR63" s="1">
        <f t="shared" si="471"/>
        <v>0</v>
      </c>
      <c r="DS63" s="1">
        <f t="shared" si="472"/>
        <v>0</v>
      </c>
      <c r="DT63" s="1">
        <f t="shared" si="473"/>
        <v>0</v>
      </c>
      <c r="DU63" s="1">
        <f t="shared" si="474"/>
        <v>0</v>
      </c>
      <c r="DV63" s="1">
        <f t="shared" si="475"/>
        <v>0</v>
      </c>
    </row>
    <row r="64" spans="1:126" x14ac:dyDescent="0.25">
      <c r="A64" s="26" t="s">
        <v>30</v>
      </c>
      <c r="B64" s="26"/>
      <c r="C64" s="36">
        <f>+IF(Tipologia_Campo="FTTH",0,SUMIFS(ValoresMercado,Conceptos,A64,Relacion,DistanciaEnergiaSTD,Tipo,TipoEspecifico,KW_Energia,KW_EnergiaValor)/12)</f>
        <v>41666.666666666664</v>
      </c>
      <c r="D64" s="35"/>
      <c r="E64" s="35">
        <f t="shared" si="37"/>
        <v>56</v>
      </c>
      <c r="F64" s="1">
        <f t="shared" si="328"/>
        <v>0</v>
      </c>
      <c r="G64" s="1">
        <f t="shared" si="356"/>
        <v>0</v>
      </c>
      <c r="H64" s="1">
        <f t="shared" si="357"/>
        <v>0</v>
      </c>
      <c r="I64" s="1">
        <f t="shared" si="358"/>
        <v>0</v>
      </c>
      <c r="J64" s="1">
        <f t="shared" si="359"/>
        <v>0</v>
      </c>
      <c r="K64" s="1">
        <f t="shared" si="360"/>
        <v>0</v>
      </c>
      <c r="L64" s="1">
        <f t="shared" si="361"/>
        <v>0</v>
      </c>
      <c r="M64" s="1">
        <f t="shared" si="362"/>
        <v>0</v>
      </c>
      <c r="N64" s="1">
        <f t="shared" si="363"/>
        <v>0</v>
      </c>
      <c r="O64" s="1">
        <f t="shared" si="364"/>
        <v>0</v>
      </c>
      <c r="P64" s="1">
        <f t="shared" si="365"/>
        <v>0</v>
      </c>
      <c r="Q64" s="1">
        <f t="shared" si="366"/>
        <v>0</v>
      </c>
      <c r="R64" s="1">
        <f t="shared" si="367"/>
        <v>0</v>
      </c>
      <c r="S64" s="1">
        <f t="shared" si="368"/>
        <v>42916.666666666664</v>
      </c>
      <c r="T64" s="1">
        <f t="shared" si="369"/>
        <v>42916.666666666664</v>
      </c>
      <c r="U64" s="1">
        <f t="shared" si="370"/>
        <v>42916.666666666664</v>
      </c>
      <c r="V64" s="1">
        <f t="shared" si="371"/>
        <v>42916.666666666664</v>
      </c>
      <c r="W64" s="1">
        <f t="shared" si="372"/>
        <v>42916.666666666664</v>
      </c>
      <c r="X64" s="1">
        <f t="shared" si="373"/>
        <v>42916.666666666664</v>
      </c>
      <c r="Y64" s="1">
        <f t="shared" si="374"/>
        <v>42916.666666666664</v>
      </c>
      <c r="Z64" s="1">
        <f t="shared" si="375"/>
        <v>44204.166666666664</v>
      </c>
      <c r="AA64" s="1">
        <f t="shared" si="376"/>
        <v>44204.166666666664</v>
      </c>
      <c r="AB64" s="1">
        <f t="shared" si="377"/>
        <v>44204.166666666664</v>
      </c>
      <c r="AC64" s="1">
        <f t="shared" si="378"/>
        <v>44204.166666666664</v>
      </c>
      <c r="AD64" s="1">
        <f t="shared" si="379"/>
        <v>44204.166666666664</v>
      </c>
      <c r="AE64" s="1">
        <f t="shared" si="380"/>
        <v>44204.166666666664</v>
      </c>
      <c r="AF64" s="1">
        <f t="shared" si="381"/>
        <v>44204.166666666664</v>
      </c>
      <c r="AG64" s="1">
        <f t="shared" si="382"/>
        <v>44204.166666666664</v>
      </c>
      <c r="AH64" s="1">
        <f t="shared" si="383"/>
        <v>44204.166666666664</v>
      </c>
      <c r="AI64" s="1">
        <f t="shared" si="384"/>
        <v>44204.166666666664</v>
      </c>
      <c r="AJ64" s="1">
        <f t="shared" si="385"/>
        <v>44204.166666666664</v>
      </c>
      <c r="AK64" s="1">
        <f t="shared" si="386"/>
        <v>44204.166666666664</v>
      </c>
      <c r="AL64" s="1">
        <f t="shared" si="387"/>
        <v>45530.291666666664</v>
      </c>
      <c r="AM64" s="1">
        <f t="shared" si="388"/>
        <v>45530.291666666664</v>
      </c>
      <c r="AN64" s="1">
        <f t="shared" si="389"/>
        <v>45530.291666666664</v>
      </c>
      <c r="AO64" s="1">
        <f t="shared" si="390"/>
        <v>45530.291666666664</v>
      </c>
      <c r="AP64" s="1">
        <f t="shared" si="391"/>
        <v>45530.291666666664</v>
      </c>
      <c r="AQ64" s="1">
        <f t="shared" si="392"/>
        <v>45530.291666666664</v>
      </c>
      <c r="AR64" s="1">
        <f t="shared" si="393"/>
        <v>45530.291666666664</v>
      </c>
      <c r="AS64" s="1">
        <f t="shared" si="394"/>
        <v>45530.291666666664</v>
      </c>
      <c r="AT64" s="1">
        <f t="shared" si="395"/>
        <v>45530.291666666664</v>
      </c>
      <c r="AU64" s="1">
        <f t="shared" si="396"/>
        <v>45530.291666666664</v>
      </c>
      <c r="AV64" s="1">
        <f t="shared" si="397"/>
        <v>45530.291666666664</v>
      </c>
      <c r="AW64" s="1">
        <f t="shared" si="398"/>
        <v>45530.291666666664</v>
      </c>
      <c r="AX64" s="1">
        <f t="shared" si="399"/>
        <v>46896.200416666667</v>
      </c>
      <c r="AY64" s="1">
        <f t="shared" si="400"/>
        <v>46896.200416666667</v>
      </c>
      <c r="AZ64" s="1">
        <f t="shared" si="401"/>
        <v>46896.200416666667</v>
      </c>
      <c r="BA64" s="1">
        <f t="shared" si="402"/>
        <v>46896.200416666667</v>
      </c>
      <c r="BB64" s="1">
        <f t="shared" si="403"/>
        <v>46896.200416666667</v>
      </c>
      <c r="BC64" s="1">
        <f t="shared" si="404"/>
        <v>46896.200416666667</v>
      </c>
      <c r="BD64" s="1">
        <f t="shared" si="405"/>
        <v>46896.200416666667</v>
      </c>
      <c r="BE64" s="1">
        <f t="shared" si="406"/>
        <v>46896.200416666667</v>
      </c>
      <c r="BF64" s="1">
        <f t="shared" si="407"/>
        <v>46896.200416666667</v>
      </c>
      <c r="BG64" s="1">
        <f t="shared" si="408"/>
        <v>46896.200416666667</v>
      </c>
      <c r="BH64" s="1">
        <f t="shared" si="409"/>
        <v>46896.200416666667</v>
      </c>
      <c r="BI64" s="1">
        <f t="shared" si="410"/>
        <v>46896.200416666667</v>
      </c>
      <c r="BJ64" s="1">
        <f t="shared" si="411"/>
        <v>48303.086429166666</v>
      </c>
      <c r="BK64" s="1">
        <f t="shared" si="412"/>
        <v>0</v>
      </c>
      <c r="BL64" s="1">
        <f t="shared" si="413"/>
        <v>0</v>
      </c>
      <c r="BM64" s="1">
        <f t="shared" si="414"/>
        <v>0</v>
      </c>
      <c r="BN64" s="1">
        <f t="shared" si="415"/>
        <v>0</v>
      </c>
      <c r="BO64" s="1">
        <f t="shared" si="416"/>
        <v>0</v>
      </c>
      <c r="BP64" s="1">
        <f t="shared" si="417"/>
        <v>0</v>
      </c>
      <c r="BQ64" s="1">
        <f t="shared" si="418"/>
        <v>0</v>
      </c>
      <c r="BR64" s="1">
        <f t="shared" si="419"/>
        <v>0</v>
      </c>
      <c r="BS64" s="1">
        <f t="shared" si="420"/>
        <v>0</v>
      </c>
      <c r="BT64" s="1">
        <f t="shared" si="421"/>
        <v>0</v>
      </c>
      <c r="BU64" s="1">
        <f t="shared" si="422"/>
        <v>0</v>
      </c>
      <c r="BV64" s="1">
        <f t="shared" si="423"/>
        <v>0</v>
      </c>
      <c r="BW64" s="1">
        <f t="shared" si="424"/>
        <v>0</v>
      </c>
      <c r="BX64" s="1">
        <f t="shared" si="425"/>
        <v>0</v>
      </c>
      <c r="BY64" s="1">
        <f t="shared" si="426"/>
        <v>0</v>
      </c>
      <c r="BZ64" s="1">
        <f t="shared" si="427"/>
        <v>0</v>
      </c>
      <c r="CA64" s="1">
        <f t="shared" si="428"/>
        <v>0</v>
      </c>
      <c r="CB64" s="1">
        <f t="shared" si="429"/>
        <v>0</v>
      </c>
      <c r="CC64" s="1">
        <f t="shared" si="430"/>
        <v>0</v>
      </c>
      <c r="CD64" s="1">
        <f t="shared" si="431"/>
        <v>0</v>
      </c>
      <c r="CE64" s="1">
        <f t="shared" si="432"/>
        <v>0</v>
      </c>
      <c r="CF64" s="1">
        <f t="shared" si="433"/>
        <v>0</v>
      </c>
      <c r="CG64" s="1">
        <f t="shared" si="434"/>
        <v>0</v>
      </c>
      <c r="CH64" s="1">
        <f t="shared" si="435"/>
        <v>0</v>
      </c>
      <c r="CI64" s="1">
        <f t="shared" si="436"/>
        <v>0</v>
      </c>
      <c r="CJ64" s="1">
        <f t="shared" si="437"/>
        <v>0</v>
      </c>
      <c r="CK64" s="1">
        <f t="shared" si="438"/>
        <v>0</v>
      </c>
      <c r="CL64" s="1">
        <f t="shared" si="439"/>
        <v>0</v>
      </c>
      <c r="CM64" s="1">
        <f t="shared" si="440"/>
        <v>0</v>
      </c>
      <c r="CN64" s="1">
        <f t="shared" si="441"/>
        <v>0</v>
      </c>
      <c r="CO64" s="1">
        <f t="shared" si="442"/>
        <v>0</v>
      </c>
      <c r="CP64" s="1">
        <f t="shared" si="443"/>
        <v>0</v>
      </c>
      <c r="CQ64" s="1">
        <f t="shared" si="444"/>
        <v>0</v>
      </c>
      <c r="CR64" s="1">
        <f t="shared" si="445"/>
        <v>0</v>
      </c>
      <c r="CS64" s="1">
        <f t="shared" si="446"/>
        <v>0</v>
      </c>
      <c r="CT64" s="1">
        <f t="shared" si="447"/>
        <v>0</v>
      </c>
      <c r="CU64" s="1">
        <f t="shared" si="448"/>
        <v>0</v>
      </c>
      <c r="CV64" s="1">
        <f t="shared" si="449"/>
        <v>0</v>
      </c>
      <c r="CW64" s="1">
        <f t="shared" si="450"/>
        <v>0</v>
      </c>
      <c r="CX64" s="1">
        <f t="shared" si="451"/>
        <v>0</v>
      </c>
      <c r="CY64" s="1">
        <f t="shared" si="452"/>
        <v>0</v>
      </c>
      <c r="CZ64" s="1">
        <f t="shared" si="453"/>
        <v>0</v>
      </c>
      <c r="DA64" s="1">
        <f t="shared" si="454"/>
        <v>0</v>
      </c>
      <c r="DB64" s="1">
        <f t="shared" si="455"/>
        <v>0</v>
      </c>
      <c r="DC64" s="1">
        <f t="shared" si="456"/>
        <v>0</v>
      </c>
      <c r="DD64" s="1">
        <f t="shared" si="457"/>
        <v>0</v>
      </c>
      <c r="DE64" s="1">
        <f t="shared" si="458"/>
        <v>0</v>
      </c>
      <c r="DF64" s="1">
        <f t="shared" si="459"/>
        <v>0</v>
      </c>
      <c r="DG64" s="1">
        <f t="shared" si="460"/>
        <v>0</v>
      </c>
      <c r="DH64" s="1">
        <f t="shared" si="461"/>
        <v>0</v>
      </c>
      <c r="DI64" s="1">
        <f t="shared" si="462"/>
        <v>0</v>
      </c>
      <c r="DJ64" s="1">
        <f t="shared" si="463"/>
        <v>0</v>
      </c>
      <c r="DK64" s="1">
        <f t="shared" si="464"/>
        <v>0</v>
      </c>
      <c r="DL64" s="1">
        <f t="shared" si="465"/>
        <v>0</v>
      </c>
      <c r="DM64" s="1">
        <f t="shared" si="466"/>
        <v>0</v>
      </c>
      <c r="DN64" s="1">
        <f t="shared" si="467"/>
        <v>0</v>
      </c>
      <c r="DO64" s="1">
        <f t="shared" si="468"/>
        <v>0</v>
      </c>
      <c r="DP64" s="1">
        <f t="shared" si="469"/>
        <v>0</v>
      </c>
      <c r="DQ64" s="1">
        <f t="shared" si="470"/>
        <v>0</v>
      </c>
      <c r="DR64" s="1">
        <f t="shared" si="471"/>
        <v>0</v>
      </c>
      <c r="DS64" s="1">
        <f t="shared" si="472"/>
        <v>0</v>
      </c>
      <c r="DT64" s="1">
        <f t="shared" si="473"/>
        <v>0</v>
      </c>
      <c r="DU64" s="1">
        <f t="shared" si="474"/>
        <v>0</v>
      </c>
      <c r="DV64" s="1">
        <f t="shared" si="475"/>
        <v>0</v>
      </c>
    </row>
    <row r="65" spans="1:126" x14ac:dyDescent="0.25">
      <c r="A65" s="26" t="s">
        <v>29</v>
      </c>
      <c r="B65" s="26"/>
      <c r="C65" s="36">
        <f>+IF(Tipologia_Campo="FTTH",0,SUMIFS(ValoresMercado,Conceptos,A65,Relacion,DistanciaEnergiaSTD,Tipo,TipoEspecifico,KW_Energia,KW_EnergiaValor)/12)</f>
        <v>327575.12666666665</v>
      </c>
      <c r="D65" s="35"/>
      <c r="E65" s="35">
        <f t="shared" si="37"/>
        <v>56</v>
      </c>
      <c r="F65" s="1">
        <f t="shared" si="328"/>
        <v>0</v>
      </c>
      <c r="G65" s="1">
        <f t="shared" si="356"/>
        <v>0</v>
      </c>
      <c r="H65" s="1">
        <f t="shared" si="357"/>
        <v>0</v>
      </c>
      <c r="I65" s="1">
        <f t="shared" si="358"/>
        <v>0</v>
      </c>
      <c r="J65" s="1">
        <f t="shared" si="359"/>
        <v>0</v>
      </c>
      <c r="K65" s="1">
        <f t="shared" si="360"/>
        <v>0</v>
      </c>
      <c r="L65" s="1">
        <f t="shared" si="361"/>
        <v>0</v>
      </c>
      <c r="M65" s="1">
        <f t="shared" si="362"/>
        <v>0</v>
      </c>
      <c r="N65" s="1">
        <f t="shared" si="363"/>
        <v>0</v>
      </c>
      <c r="O65" s="1">
        <f t="shared" si="364"/>
        <v>0</v>
      </c>
      <c r="P65" s="1">
        <f t="shared" si="365"/>
        <v>0</v>
      </c>
      <c r="Q65" s="1">
        <f t="shared" si="366"/>
        <v>0</v>
      </c>
      <c r="R65" s="1">
        <f t="shared" si="367"/>
        <v>0</v>
      </c>
      <c r="S65" s="1">
        <f t="shared" si="368"/>
        <v>337402.38046666665</v>
      </c>
      <c r="T65" s="1">
        <f t="shared" si="369"/>
        <v>337402.38046666665</v>
      </c>
      <c r="U65" s="1">
        <f t="shared" si="370"/>
        <v>337402.38046666665</v>
      </c>
      <c r="V65" s="1">
        <f t="shared" si="371"/>
        <v>337402.38046666665</v>
      </c>
      <c r="W65" s="1">
        <f t="shared" si="372"/>
        <v>337402.38046666665</v>
      </c>
      <c r="X65" s="1">
        <f t="shared" si="373"/>
        <v>337402.38046666665</v>
      </c>
      <c r="Y65" s="1">
        <f t="shared" si="374"/>
        <v>337402.38046666665</v>
      </c>
      <c r="Z65" s="1">
        <f t="shared" si="375"/>
        <v>347524.45188066666</v>
      </c>
      <c r="AA65" s="1">
        <f t="shared" si="376"/>
        <v>347524.45188066666</v>
      </c>
      <c r="AB65" s="1">
        <f t="shared" si="377"/>
        <v>347524.45188066666</v>
      </c>
      <c r="AC65" s="1">
        <f t="shared" si="378"/>
        <v>347524.45188066666</v>
      </c>
      <c r="AD65" s="1">
        <f t="shared" si="379"/>
        <v>347524.45188066666</v>
      </c>
      <c r="AE65" s="1">
        <f t="shared" si="380"/>
        <v>347524.45188066666</v>
      </c>
      <c r="AF65" s="1">
        <f t="shared" si="381"/>
        <v>347524.45188066666</v>
      </c>
      <c r="AG65" s="1">
        <f t="shared" si="382"/>
        <v>347524.45188066666</v>
      </c>
      <c r="AH65" s="1">
        <f t="shared" si="383"/>
        <v>347524.45188066666</v>
      </c>
      <c r="AI65" s="1">
        <f t="shared" si="384"/>
        <v>347524.45188066666</v>
      </c>
      <c r="AJ65" s="1">
        <f t="shared" si="385"/>
        <v>347524.45188066666</v>
      </c>
      <c r="AK65" s="1">
        <f t="shared" si="386"/>
        <v>347524.45188066666</v>
      </c>
      <c r="AL65" s="1">
        <f t="shared" si="387"/>
        <v>357950.18543708662</v>
      </c>
      <c r="AM65" s="1">
        <f t="shared" si="388"/>
        <v>357950.18543708662</v>
      </c>
      <c r="AN65" s="1">
        <f t="shared" si="389"/>
        <v>357950.18543708662</v>
      </c>
      <c r="AO65" s="1">
        <f t="shared" si="390"/>
        <v>357950.18543708662</v>
      </c>
      <c r="AP65" s="1">
        <f t="shared" si="391"/>
        <v>357950.18543708662</v>
      </c>
      <c r="AQ65" s="1">
        <f t="shared" si="392"/>
        <v>357950.18543708662</v>
      </c>
      <c r="AR65" s="1">
        <f t="shared" si="393"/>
        <v>357950.18543708662</v>
      </c>
      <c r="AS65" s="1">
        <f t="shared" si="394"/>
        <v>357950.18543708662</v>
      </c>
      <c r="AT65" s="1">
        <f t="shared" si="395"/>
        <v>357950.18543708662</v>
      </c>
      <c r="AU65" s="1">
        <f t="shared" si="396"/>
        <v>357950.18543708662</v>
      </c>
      <c r="AV65" s="1">
        <f t="shared" si="397"/>
        <v>357950.18543708662</v>
      </c>
      <c r="AW65" s="1">
        <f t="shared" si="398"/>
        <v>357950.18543708662</v>
      </c>
      <c r="AX65" s="1">
        <f t="shared" si="399"/>
        <v>368688.69100019929</v>
      </c>
      <c r="AY65" s="1">
        <f t="shared" si="400"/>
        <v>368688.69100019929</v>
      </c>
      <c r="AZ65" s="1">
        <f t="shared" si="401"/>
        <v>368688.69100019929</v>
      </c>
      <c r="BA65" s="1">
        <f t="shared" si="402"/>
        <v>368688.69100019929</v>
      </c>
      <c r="BB65" s="1">
        <f t="shared" si="403"/>
        <v>368688.69100019929</v>
      </c>
      <c r="BC65" s="1">
        <f t="shared" si="404"/>
        <v>368688.69100019929</v>
      </c>
      <c r="BD65" s="1">
        <f t="shared" si="405"/>
        <v>368688.69100019929</v>
      </c>
      <c r="BE65" s="1">
        <f t="shared" si="406"/>
        <v>368688.69100019929</v>
      </c>
      <c r="BF65" s="1">
        <f t="shared" si="407"/>
        <v>368688.69100019929</v>
      </c>
      <c r="BG65" s="1">
        <f t="shared" si="408"/>
        <v>368688.69100019929</v>
      </c>
      <c r="BH65" s="1">
        <f t="shared" si="409"/>
        <v>368688.69100019929</v>
      </c>
      <c r="BI65" s="1">
        <f t="shared" si="410"/>
        <v>368688.69100019929</v>
      </c>
      <c r="BJ65" s="1">
        <f t="shared" si="411"/>
        <v>379749.35173020524</v>
      </c>
      <c r="BK65" s="1">
        <f t="shared" si="412"/>
        <v>0</v>
      </c>
      <c r="BL65" s="1">
        <f t="shared" si="413"/>
        <v>0</v>
      </c>
      <c r="BM65" s="1">
        <f t="shared" si="414"/>
        <v>0</v>
      </c>
      <c r="BN65" s="1">
        <f t="shared" si="415"/>
        <v>0</v>
      </c>
      <c r="BO65" s="1">
        <f t="shared" si="416"/>
        <v>0</v>
      </c>
      <c r="BP65" s="1">
        <f t="shared" si="417"/>
        <v>0</v>
      </c>
      <c r="BQ65" s="1">
        <f t="shared" si="418"/>
        <v>0</v>
      </c>
      <c r="BR65" s="1">
        <f t="shared" si="419"/>
        <v>0</v>
      </c>
      <c r="BS65" s="1">
        <f t="shared" si="420"/>
        <v>0</v>
      </c>
      <c r="BT65" s="1">
        <f t="shared" si="421"/>
        <v>0</v>
      </c>
      <c r="BU65" s="1">
        <f t="shared" si="422"/>
        <v>0</v>
      </c>
      <c r="BV65" s="1">
        <f t="shared" si="423"/>
        <v>0</v>
      </c>
      <c r="BW65" s="1">
        <f t="shared" si="424"/>
        <v>0</v>
      </c>
      <c r="BX65" s="1">
        <f t="shared" si="425"/>
        <v>0</v>
      </c>
      <c r="BY65" s="1">
        <f t="shared" si="426"/>
        <v>0</v>
      </c>
      <c r="BZ65" s="1">
        <f t="shared" si="427"/>
        <v>0</v>
      </c>
      <c r="CA65" s="1">
        <f t="shared" si="428"/>
        <v>0</v>
      </c>
      <c r="CB65" s="1">
        <f t="shared" si="429"/>
        <v>0</v>
      </c>
      <c r="CC65" s="1">
        <f t="shared" si="430"/>
        <v>0</v>
      </c>
      <c r="CD65" s="1">
        <f t="shared" si="431"/>
        <v>0</v>
      </c>
      <c r="CE65" s="1">
        <f t="shared" si="432"/>
        <v>0</v>
      </c>
      <c r="CF65" s="1">
        <f t="shared" si="433"/>
        <v>0</v>
      </c>
      <c r="CG65" s="1">
        <f t="shared" si="434"/>
        <v>0</v>
      </c>
      <c r="CH65" s="1">
        <f t="shared" si="435"/>
        <v>0</v>
      </c>
      <c r="CI65" s="1">
        <f t="shared" si="436"/>
        <v>0</v>
      </c>
      <c r="CJ65" s="1">
        <f t="shared" si="437"/>
        <v>0</v>
      </c>
      <c r="CK65" s="1">
        <f t="shared" si="438"/>
        <v>0</v>
      </c>
      <c r="CL65" s="1">
        <f t="shared" si="439"/>
        <v>0</v>
      </c>
      <c r="CM65" s="1">
        <f t="shared" si="440"/>
        <v>0</v>
      </c>
      <c r="CN65" s="1">
        <f t="shared" si="441"/>
        <v>0</v>
      </c>
      <c r="CO65" s="1">
        <f t="shared" si="442"/>
        <v>0</v>
      </c>
      <c r="CP65" s="1">
        <f t="shared" si="443"/>
        <v>0</v>
      </c>
      <c r="CQ65" s="1">
        <f t="shared" si="444"/>
        <v>0</v>
      </c>
      <c r="CR65" s="1">
        <f t="shared" si="445"/>
        <v>0</v>
      </c>
      <c r="CS65" s="1">
        <f t="shared" si="446"/>
        <v>0</v>
      </c>
      <c r="CT65" s="1">
        <f t="shared" si="447"/>
        <v>0</v>
      </c>
      <c r="CU65" s="1">
        <f t="shared" si="448"/>
        <v>0</v>
      </c>
      <c r="CV65" s="1">
        <f t="shared" si="449"/>
        <v>0</v>
      </c>
      <c r="CW65" s="1">
        <f t="shared" si="450"/>
        <v>0</v>
      </c>
      <c r="CX65" s="1">
        <f t="shared" si="451"/>
        <v>0</v>
      </c>
      <c r="CY65" s="1">
        <f t="shared" si="452"/>
        <v>0</v>
      </c>
      <c r="CZ65" s="1">
        <f t="shared" si="453"/>
        <v>0</v>
      </c>
      <c r="DA65" s="1">
        <f t="shared" si="454"/>
        <v>0</v>
      </c>
      <c r="DB65" s="1">
        <f t="shared" si="455"/>
        <v>0</v>
      </c>
      <c r="DC65" s="1">
        <f t="shared" si="456"/>
        <v>0</v>
      </c>
      <c r="DD65" s="1">
        <f t="shared" si="457"/>
        <v>0</v>
      </c>
      <c r="DE65" s="1">
        <f t="shared" si="458"/>
        <v>0</v>
      </c>
      <c r="DF65" s="1">
        <f t="shared" si="459"/>
        <v>0</v>
      </c>
      <c r="DG65" s="1">
        <f t="shared" si="460"/>
        <v>0</v>
      </c>
      <c r="DH65" s="1">
        <f t="shared" si="461"/>
        <v>0</v>
      </c>
      <c r="DI65" s="1">
        <f t="shared" si="462"/>
        <v>0</v>
      </c>
      <c r="DJ65" s="1">
        <f t="shared" si="463"/>
        <v>0</v>
      </c>
      <c r="DK65" s="1">
        <f t="shared" si="464"/>
        <v>0</v>
      </c>
      <c r="DL65" s="1">
        <f t="shared" si="465"/>
        <v>0</v>
      </c>
      <c r="DM65" s="1">
        <f t="shared" si="466"/>
        <v>0</v>
      </c>
      <c r="DN65" s="1">
        <f t="shared" si="467"/>
        <v>0</v>
      </c>
      <c r="DO65" s="1">
        <f t="shared" si="468"/>
        <v>0</v>
      </c>
      <c r="DP65" s="1">
        <f t="shared" si="469"/>
        <v>0</v>
      </c>
      <c r="DQ65" s="1">
        <f t="shared" si="470"/>
        <v>0</v>
      </c>
      <c r="DR65" s="1">
        <f t="shared" si="471"/>
        <v>0</v>
      </c>
      <c r="DS65" s="1">
        <f t="shared" si="472"/>
        <v>0</v>
      </c>
      <c r="DT65" s="1">
        <f t="shared" si="473"/>
        <v>0</v>
      </c>
      <c r="DU65" s="1">
        <f t="shared" si="474"/>
        <v>0</v>
      </c>
      <c r="DV65" s="1">
        <f t="shared" si="475"/>
        <v>0</v>
      </c>
    </row>
    <row r="66" spans="1:126" x14ac:dyDescent="0.25">
      <c r="A66" s="26" t="str">
        <f>+"Terreno "&amp;Tipo_Terreno&amp;" - "&amp;"Tramite conexión  y permisos"</f>
        <v>Terreno Plano - Tramite conexión  y permisos</v>
      </c>
      <c r="B66" s="36">
        <f t="shared" ref="B66:B74" si="476">+IF(Tipologia_Campo="FTTH",0,SUMIFS(ValoresMercado,Conceptos,A66,Relacion,DistanciaEnergiaSTD,Tipo,TipoEspecifico,Terreno_Energia,Tipo_Terreno,KW_Energia,KW_EnergiaValor))</f>
        <v>778384.16280000005</v>
      </c>
      <c r="C66" s="26"/>
      <c r="D66" s="35"/>
      <c r="E66" s="35">
        <f t="shared" si="37"/>
        <v>56</v>
      </c>
      <c r="F66" s="1">
        <f t="shared" ref="F66:BQ70" si="477">+IF($A66="","",IF($D66=F$15,$B66+IF(MONTH($B$8)-MONTH($B$7)+$E$14=E$14,$C66,0),0))</f>
        <v>778384.16280000005</v>
      </c>
      <c r="G66" s="1">
        <f t="shared" si="477"/>
        <v>0</v>
      </c>
      <c r="H66" s="1">
        <f t="shared" si="477"/>
        <v>0</v>
      </c>
      <c r="I66" s="1">
        <f t="shared" si="477"/>
        <v>0</v>
      </c>
      <c r="J66" s="1">
        <f t="shared" si="477"/>
        <v>0</v>
      </c>
      <c r="K66" s="1">
        <f t="shared" si="477"/>
        <v>0</v>
      </c>
      <c r="L66" s="1">
        <f t="shared" si="477"/>
        <v>0</v>
      </c>
      <c r="M66" s="1">
        <f t="shared" si="477"/>
        <v>0</v>
      </c>
      <c r="N66" s="1">
        <f t="shared" si="477"/>
        <v>0</v>
      </c>
      <c r="O66" s="1">
        <f t="shared" si="477"/>
        <v>0</v>
      </c>
      <c r="P66" s="1">
        <f t="shared" si="477"/>
        <v>0</v>
      </c>
      <c r="Q66" s="1">
        <f t="shared" si="477"/>
        <v>0</v>
      </c>
      <c r="R66" s="1">
        <f t="shared" si="477"/>
        <v>0</v>
      </c>
      <c r="S66" s="1">
        <f t="shared" si="477"/>
        <v>0</v>
      </c>
      <c r="T66" s="1">
        <f t="shared" si="477"/>
        <v>0</v>
      </c>
      <c r="U66" s="1">
        <f t="shared" si="477"/>
        <v>0</v>
      </c>
      <c r="V66" s="1">
        <f t="shared" si="477"/>
        <v>0</v>
      </c>
      <c r="W66" s="1">
        <f t="shared" si="477"/>
        <v>0</v>
      </c>
      <c r="X66" s="1">
        <f t="shared" si="477"/>
        <v>0</v>
      </c>
      <c r="Y66" s="1">
        <f t="shared" si="477"/>
        <v>0</v>
      </c>
      <c r="Z66" s="1">
        <f t="shared" si="477"/>
        <v>0</v>
      </c>
      <c r="AA66" s="1">
        <f t="shared" si="477"/>
        <v>0</v>
      </c>
      <c r="AB66" s="1">
        <f t="shared" si="477"/>
        <v>0</v>
      </c>
      <c r="AC66" s="1">
        <f t="shared" si="477"/>
        <v>0</v>
      </c>
      <c r="AD66" s="1">
        <f t="shared" si="477"/>
        <v>0</v>
      </c>
      <c r="AE66" s="1">
        <f t="shared" si="477"/>
        <v>0</v>
      </c>
      <c r="AF66" s="1">
        <f t="shared" si="477"/>
        <v>0</v>
      </c>
      <c r="AG66" s="1">
        <f t="shared" si="477"/>
        <v>0</v>
      </c>
      <c r="AH66" s="1">
        <f t="shared" si="477"/>
        <v>0</v>
      </c>
      <c r="AI66" s="1">
        <f t="shared" si="477"/>
        <v>0</v>
      </c>
      <c r="AJ66" s="1">
        <f t="shared" si="477"/>
        <v>0</v>
      </c>
      <c r="AK66" s="1">
        <f t="shared" si="477"/>
        <v>0</v>
      </c>
      <c r="AL66" s="1">
        <f t="shared" si="477"/>
        <v>0</v>
      </c>
      <c r="AM66" s="1">
        <f t="shared" si="477"/>
        <v>0</v>
      </c>
      <c r="AN66" s="1">
        <f t="shared" si="477"/>
        <v>0</v>
      </c>
      <c r="AO66" s="1">
        <f t="shared" si="477"/>
        <v>0</v>
      </c>
      <c r="AP66" s="1">
        <f t="shared" si="477"/>
        <v>0</v>
      </c>
      <c r="AQ66" s="1">
        <f t="shared" si="477"/>
        <v>0</v>
      </c>
      <c r="AR66" s="1">
        <f t="shared" si="477"/>
        <v>0</v>
      </c>
      <c r="AS66" s="1">
        <f t="shared" si="477"/>
        <v>0</v>
      </c>
      <c r="AT66" s="1">
        <f t="shared" si="477"/>
        <v>0</v>
      </c>
      <c r="AU66" s="1">
        <f t="shared" si="477"/>
        <v>0</v>
      </c>
      <c r="AV66" s="1">
        <f t="shared" si="477"/>
        <v>0</v>
      </c>
      <c r="AW66" s="1">
        <f t="shared" si="477"/>
        <v>0</v>
      </c>
      <c r="AX66" s="1">
        <f t="shared" si="477"/>
        <v>0</v>
      </c>
      <c r="AY66" s="1">
        <f t="shared" si="477"/>
        <v>0</v>
      </c>
      <c r="AZ66" s="1">
        <f t="shared" si="477"/>
        <v>0</v>
      </c>
      <c r="BA66" s="1">
        <f t="shared" si="477"/>
        <v>0</v>
      </c>
      <c r="BB66" s="1">
        <f t="shared" si="477"/>
        <v>0</v>
      </c>
      <c r="BC66" s="1">
        <f t="shared" si="477"/>
        <v>0</v>
      </c>
      <c r="BD66" s="1">
        <f t="shared" si="477"/>
        <v>0</v>
      </c>
      <c r="BE66" s="1">
        <f t="shared" si="477"/>
        <v>0</v>
      </c>
      <c r="BF66" s="1">
        <f t="shared" si="477"/>
        <v>0</v>
      </c>
      <c r="BG66" s="1">
        <f t="shared" si="477"/>
        <v>0</v>
      </c>
      <c r="BH66" s="1">
        <f t="shared" si="477"/>
        <v>0</v>
      </c>
      <c r="BI66" s="1">
        <f t="shared" si="477"/>
        <v>0</v>
      </c>
      <c r="BJ66" s="1">
        <f t="shared" si="477"/>
        <v>0</v>
      </c>
      <c r="BK66" s="1">
        <f t="shared" si="477"/>
        <v>0</v>
      </c>
      <c r="BL66" s="1">
        <f t="shared" si="477"/>
        <v>0</v>
      </c>
      <c r="BM66" s="1">
        <f t="shared" si="477"/>
        <v>0</v>
      </c>
      <c r="BN66" s="1">
        <f t="shared" si="477"/>
        <v>0</v>
      </c>
      <c r="BO66" s="1">
        <f t="shared" si="477"/>
        <v>0</v>
      </c>
      <c r="BP66" s="1">
        <f t="shared" si="477"/>
        <v>0</v>
      </c>
      <c r="BQ66" s="1">
        <f t="shared" si="477"/>
        <v>0</v>
      </c>
      <c r="BR66" s="1">
        <f t="shared" ref="BR66:DV70" si="478">+IF($A66="","",IF($D66=BR$15,$B66+IF(MONTH($B$8)-MONTH($B$7)+$E$14=BQ$14,$C66,0),0))</f>
        <v>0</v>
      </c>
      <c r="BS66" s="1">
        <f t="shared" si="478"/>
        <v>0</v>
      </c>
      <c r="BT66" s="1">
        <f t="shared" si="478"/>
        <v>0</v>
      </c>
      <c r="BU66" s="1">
        <f t="shared" si="478"/>
        <v>0</v>
      </c>
      <c r="BV66" s="1">
        <f t="shared" si="478"/>
        <v>0</v>
      </c>
      <c r="BW66" s="1">
        <f t="shared" si="478"/>
        <v>0</v>
      </c>
      <c r="BX66" s="1">
        <f t="shared" si="478"/>
        <v>0</v>
      </c>
      <c r="BY66" s="1">
        <f t="shared" si="478"/>
        <v>0</v>
      </c>
      <c r="BZ66" s="1">
        <f t="shared" si="478"/>
        <v>0</v>
      </c>
      <c r="CA66" s="1">
        <f t="shared" si="478"/>
        <v>0</v>
      </c>
      <c r="CB66" s="1">
        <f t="shared" si="478"/>
        <v>0</v>
      </c>
      <c r="CC66" s="1">
        <f t="shared" si="478"/>
        <v>0</v>
      </c>
      <c r="CD66" s="1">
        <f t="shared" si="478"/>
        <v>0</v>
      </c>
      <c r="CE66" s="1">
        <f t="shared" si="478"/>
        <v>0</v>
      </c>
      <c r="CF66" s="1">
        <f t="shared" si="478"/>
        <v>0</v>
      </c>
      <c r="CG66" s="1">
        <f t="shared" si="478"/>
        <v>0</v>
      </c>
      <c r="CH66" s="1">
        <f t="shared" si="478"/>
        <v>0</v>
      </c>
      <c r="CI66" s="1">
        <f t="shared" si="478"/>
        <v>0</v>
      </c>
      <c r="CJ66" s="1">
        <f t="shared" si="478"/>
        <v>0</v>
      </c>
      <c r="CK66" s="1">
        <f t="shared" si="478"/>
        <v>0</v>
      </c>
      <c r="CL66" s="1">
        <f t="shared" si="478"/>
        <v>0</v>
      </c>
      <c r="CM66" s="1">
        <f t="shared" si="478"/>
        <v>0</v>
      </c>
      <c r="CN66" s="1">
        <f t="shared" si="478"/>
        <v>0</v>
      </c>
      <c r="CO66" s="1">
        <f t="shared" si="478"/>
        <v>0</v>
      </c>
      <c r="CP66" s="1">
        <f t="shared" si="478"/>
        <v>0</v>
      </c>
      <c r="CQ66" s="1">
        <f t="shared" si="478"/>
        <v>0</v>
      </c>
      <c r="CR66" s="1">
        <f t="shared" si="478"/>
        <v>0</v>
      </c>
      <c r="CS66" s="1">
        <f t="shared" si="478"/>
        <v>0</v>
      </c>
      <c r="CT66" s="1">
        <f t="shared" si="478"/>
        <v>0</v>
      </c>
      <c r="CU66" s="1">
        <f t="shared" si="478"/>
        <v>0</v>
      </c>
      <c r="CV66" s="1">
        <f t="shared" si="478"/>
        <v>0</v>
      </c>
      <c r="CW66" s="1">
        <f t="shared" si="478"/>
        <v>0</v>
      </c>
      <c r="CX66" s="1">
        <f t="shared" si="478"/>
        <v>0</v>
      </c>
      <c r="CY66" s="1">
        <f t="shared" si="478"/>
        <v>0</v>
      </c>
      <c r="CZ66" s="1">
        <f t="shared" si="478"/>
        <v>0</v>
      </c>
      <c r="DA66" s="1">
        <f t="shared" si="478"/>
        <v>0</v>
      </c>
      <c r="DB66" s="1">
        <f t="shared" si="478"/>
        <v>0</v>
      </c>
      <c r="DC66" s="1">
        <f t="shared" si="478"/>
        <v>0</v>
      </c>
      <c r="DD66" s="1">
        <f t="shared" si="478"/>
        <v>0</v>
      </c>
      <c r="DE66" s="1">
        <f t="shared" si="478"/>
        <v>0</v>
      </c>
      <c r="DF66" s="1">
        <f t="shared" si="478"/>
        <v>0</v>
      </c>
      <c r="DG66" s="1">
        <f t="shared" si="478"/>
        <v>0</v>
      </c>
      <c r="DH66" s="1">
        <f t="shared" si="478"/>
        <v>0</v>
      </c>
      <c r="DI66" s="1">
        <f t="shared" si="478"/>
        <v>0</v>
      </c>
      <c r="DJ66" s="1">
        <f t="shared" si="478"/>
        <v>0</v>
      </c>
      <c r="DK66" s="1">
        <f t="shared" si="478"/>
        <v>0</v>
      </c>
      <c r="DL66" s="1">
        <f t="shared" si="478"/>
        <v>0</v>
      </c>
      <c r="DM66" s="1">
        <f t="shared" si="478"/>
        <v>0</v>
      </c>
      <c r="DN66" s="1">
        <f t="shared" si="478"/>
        <v>0</v>
      </c>
      <c r="DO66" s="1">
        <f t="shared" si="478"/>
        <v>0</v>
      </c>
      <c r="DP66" s="1">
        <f t="shared" si="478"/>
        <v>0</v>
      </c>
      <c r="DQ66" s="1">
        <f t="shared" si="478"/>
        <v>0</v>
      </c>
      <c r="DR66" s="1">
        <f t="shared" si="478"/>
        <v>0</v>
      </c>
      <c r="DS66" s="1">
        <f t="shared" si="478"/>
        <v>0</v>
      </c>
      <c r="DT66" s="1">
        <f t="shared" si="478"/>
        <v>0</v>
      </c>
      <c r="DU66" s="1">
        <f t="shared" si="478"/>
        <v>0</v>
      </c>
      <c r="DV66" s="1">
        <f t="shared" si="478"/>
        <v>0</v>
      </c>
    </row>
    <row r="67" spans="1:126" x14ac:dyDescent="0.25">
      <c r="A67" s="26" t="str">
        <f>+"Terreno "&amp;Tipo_Terreno&amp;" - "&amp;"Asesoria y Certificacion RETIE"</f>
        <v>Terreno Plano - Asesoria y Certificacion RETIE</v>
      </c>
      <c r="B67" s="36">
        <f t="shared" si="476"/>
        <v>3086218.5474999999</v>
      </c>
      <c r="C67" s="26"/>
      <c r="D67" s="35"/>
      <c r="E67" s="35">
        <f t="shared" si="37"/>
        <v>56</v>
      </c>
      <c r="F67" s="1">
        <f t="shared" ref="F67:U74" si="479">+IF($A67="","",IF($D67=F$15,$B67+IF(MONTH($B$8)-MONTH($B$7)+$E$14=E$14,$C67,0),0))</f>
        <v>3086218.5474999999</v>
      </c>
      <c r="G67" s="1">
        <f t="shared" si="477"/>
        <v>0</v>
      </c>
      <c r="H67" s="1">
        <f t="shared" si="477"/>
        <v>0</v>
      </c>
      <c r="I67" s="1">
        <f t="shared" si="477"/>
        <v>0</v>
      </c>
      <c r="J67" s="1">
        <f t="shared" si="477"/>
        <v>0</v>
      </c>
      <c r="K67" s="1">
        <f t="shared" si="477"/>
        <v>0</v>
      </c>
      <c r="L67" s="1">
        <f t="shared" si="477"/>
        <v>0</v>
      </c>
      <c r="M67" s="1">
        <f t="shared" si="477"/>
        <v>0</v>
      </c>
      <c r="N67" s="1">
        <f t="shared" si="477"/>
        <v>0</v>
      </c>
      <c r="O67" s="1">
        <f t="shared" si="477"/>
        <v>0</v>
      </c>
      <c r="P67" s="1">
        <f t="shared" si="477"/>
        <v>0</v>
      </c>
      <c r="Q67" s="1">
        <f t="shared" si="477"/>
        <v>0</v>
      </c>
      <c r="R67" s="1">
        <f t="shared" si="477"/>
        <v>0</v>
      </c>
      <c r="S67" s="1">
        <f t="shared" si="477"/>
        <v>0</v>
      </c>
      <c r="T67" s="1">
        <f t="shared" si="477"/>
        <v>0</v>
      </c>
      <c r="U67" s="1">
        <f t="shared" si="477"/>
        <v>0</v>
      </c>
      <c r="V67" s="1">
        <f t="shared" si="477"/>
        <v>0</v>
      </c>
      <c r="W67" s="1">
        <f t="shared" si="477"/>
        <v>0</v>
      </c>
      <c r="X67" s="1">
        <f t="shared" si="477"/>
        <v>0</v>
      </c>
      <c r="Y67" s="1">
        <f t="shared" si="477"/>
        <v>0</v>
      </c>
      <c r="Z67" s="1">
        <f t="shared" si="477"/>
        <v>0</v>
      </c>
      <c r="AA67" s="1">
        <f t="shared" si="477"/>
        <v>0</v>
      </c>
      <c r="AB67" s="1">
        <f t="shared" si="477"/>
        <v>0</v>
      </c>
      <c r="AC67" s="1">
        <f t="shared" si="477"/>
        <v>0</v>
      </c>
      <c r="AD67" s="1">
        <f t="shared" si="477"/>
        <v>0</v>
      </c>
      <c r="AE67" s="1">
        <f t="shared" si="477"/>
        <v>0</v>
      </c>
      <c r="AF67" s="1">
        <f t="shared" si="477"/>
        <v>0</v>
      </c>
      <c r="AG67" s="1">
        <f t="shared" si="477"/>
        <v>0</v>
      </c>
      <c r="AH67" s="1">
        <f t="shared" si="477"/>
        <v>0</v>
      </c>
      <c r="AI67" s="1">
        <f t="shared" si="477"/>
        <v>0</v>
      </c>
      <c r="AJ67" s="1">
        <f t="shared" si="477"/>
        <v>0</v>
      </c>
      <c r="AK67" s="1">
        <f t="shared" si="477"/>
        <v>0</v>
      </c>
      <c r="AL67" s="1">
        <f t="shared" si="477"/>
        <v>0</v>
      </c>
      <c r="AM67" s="1">
        <f t="shared" si="477"/>
        <v>0</v>
      </c>
      <c r="AN67" s="1">
        <f t="shared" si="477"/>
        <v>0</v>
      </c>
      <c r="AO67" s="1">
        <f t="shared" si="477"/>
        <v>0</v>
      </c>
      <c r="AP67" s="1">
        <f t="shared" si="477"/>
        <v>0</v>
      </c>
      <c r="AQ67" s="1">
        <f t="shared" si="477"/>
        <v>0</v>
      </c>
      <c r="AR67" s="1">
        <f t="shared" si="477"/>
        <v>0</v>
      </c>
      <c r="AS67" s="1">
        <f t="shared" si="477"/>
        <v>0</v>
      </c>
      <c r="AT67" s="1">
        <f t="shared" si="477"/>
        <v>0</v>
      </c>
      <c r="AU67" s="1">
        <f t="shared" si="477"/>
        <v>0</v>
      </c>
      <c r="AV67" s="1">
        <f t="shared" si="477"/>
        <v>0</v>
      </c>
      <c r="AW67" s="1">
        <f t="shared" si="477"/>
        <v>0</v>
      </c>
      <c r="AX67" s="1">
        <f t="shared" si="477"/>
        <v>0</v>
      </c>
      <c r="AY67" s="1">
        <f t="shared" si="477"/>
        <v>0</v>
      </c>
      <c r="AZ67" s="1">
        <f t="shared" si="477"/>
        <v>0</v>
      </c>
      <c r="BA67" s="1">
        <f t="shared" si="477"/>
        <v>0</v>
      </c>
      <c r="BB67" s="1">
        <f t="shared" si="477"/>
        <v>0</v>
      </c>
      <c r="BC67" s="1">
        <f t="shared" si="477"/>
        <v>0</v>
      </c>
      <c r="BD67" s="1">
        <f t="shared" si="477"/>
        <v>0</v>
      </c>
      <c r="BE67" s="1">
        <f t="shared" si="477"/>
        <v>0</v>
      </c>
      <c r="BF67" s="1">
        <f t="shared" si="477"/>
        <v>0</v>
      </c>
      <c r="BG67" s="1">
        <f t="shared" si="477"/>
        <v>0</v>
      </c>
      <c r="BH67" s="1">
        <f t="shared" si="477"/>
        <v>0</v>
      </c>
      <c r="BI67" s="1">
        <f t="shared" si="477"/>
        <v>0</v>
      </c>
      <c r="BJ67" s="1">
        <f t="shared" si="477"/>
        <v>0</v>
      </c>
      <c r="BK67" s="1">
        <f t="shared" si="477"/>
        <v>0</v>
      </c>
      <c r="BL67" s="1">
        <f t="shared" si="477"/>
        <v>0</v>
      </c>
      <c r="BM67" s="1">
        <f t="shared" si="477"/>
        <v>0</v>
      </c>
      <c r="BN67" s="1">
        <f t="shared" si="477"/>
        <v>0</v>
      </c>
      <c r="BO67" s="1">
        <f t="shared" si="477"/>
        <v>0</v>
      </c>
      <c r="BP67" s="1">
        <f t="shared" si="477"/>
        <v>0</v>
      </c>
      <c r="BQ67" s="1">
        <f t="shared" si="477"/>
        <v>0</v>
      </c>
      <c r="BR67" s="1">
        <f t="shared" si="478"/>
        <v>0</v>
      </c>
      <c r="BS67" s="1">
        <f t="shared" si="478"/>
        <v>0</v>
      </c>
      <c r="BT67" s="1">
        <f t="shared" si="478"/>
        <v>0</v>
      </c>
      <c r="BU67" s="1">
        <f t="shared" si="478"/>
        <v>0</v>
      </c>
      <c r="BV67" s="1">
        <f t="shared" si="478"/>
        <v>0</v>
      </c>
      <c r="BW67" s="1">
        <f t="shared" si="478"/>
        <v>0</v>
      </c>
      <c r="BX67" s="1">
        <f t="shared" si="478"/>
        <v>0</v>
      </c>
      <c r="BY67" s="1">
        <f t="shared" si="478"/>
        <v>0</v>
      </c>
      <c r="BZ67" s="1">
        <f t="shared" si="478"/>
        <v>0</v>
      </c>
      <c r="CA67" s="1">
        <f t="shared" si="478"/>
        <v>0</v>
      </c>
      <c r="CB67" s="1">
        <f t="shared" si="478"/>
        <v>0</v>
      </c>
      <c r="CC67" s="1">
        <f t="shared" si="478"/>
        <v>0</v>
      </c>
      <c r="CD67" s="1">
        <f t="shared" si="478"/>
        <v>0</v>
      </c>
      <c r="CE67" s="1">
        <f t="shared" si="478"/>
        <v>0</v>
      </c>
      <c r="CF67" s="1">
        <f t="shared" si="478"/>
        <v>0</v>
      </c>
      <c r="CG67" s="1">
        <f t="shared" si="478"/>
        <v>0</v>
      </c>
      <c r="CH67" s="1">
        <f t="shared" si="478"/>
        <v>0</v>
      </c>
      <c r="CI67" s="1">
        <f t="shared" si="478"/>
        <v>0</v>
      </c>
      <c r="CJ67" s="1">
        <f t="shared" si="478"/>
        <v>0</v>
      </c>
      <c r="CK67" s="1">
        <f t="shared" si="478"/>
        <v>0</v>
      </c>
      <c r="CL67" s="1">
        <f t="shared" si="478"/>
        <v>0</v>
      </c>
      <c r="CM67" s="1">
        <f t="shared" si="478"/>
        <v>0</v>
      </c>
      <c r="CN67" s="1">
        <f t="shared" si="478"/>
        <v>0</v>
      </c>
      <c r="CO67" s="1">
        <f t="shared" si="478"/>
        <v>0</v>
      </c>
      <c r="CP67" s="1">
        <f t="shared" si="478"/>
        <v>0</v>
      </c>
      <c r="CQ67" s="1">
        <f t="shared" si="478"/>
        <v>0</v>
      </c>
      <c r="CR67" s="1">
        <f t="shared" si="478"/>
        <v>0</v>
      </c>
      <c r="CS67" s="1">
        <f t="shared" si="478"/>
        <v>0</v>
      </c>
      <c r="CT67" s="1">
        <f t="shared" si="478"/>
        <v>0</v>
      </c>
      <c r="CU67" s="1">
        <f t="shared" si="478"/>
        <v>0</v>
      </c>
      <c r="CV67" s="1">
        <f t="shared" si="478"/>
        <v>0</v>
      </c>
      <c r="CW67" s="1">
        <f t="shared" si="478"/>
        <v>0</v>
      </c>
      <c r="CX67" s="1">
        <f t="shared" si="478"/>
        <v>0</v>
      </c>
      <c r="CY67" s="1">
        <f t="shared" si="478"/>
        <v>0</v>
      </c>
      <c r="CZ67" s="1">
        <f t="shared" si="478"/>
        <v>0</v>
      </c>
      <c r="DA67" s="1">
        <f t="shared" si="478"/>
        <v>0</v>
      </c>
      <c r="DB67" s="1">
        <f t="shared" si="478"/>
        <v>0</v>
      </c>
      <c r="DC67" s="1">
        <f t="shared" si="478"/>
        <v>0</v>
      </c>
      <c r="DD67" s="1">
        <f t="shared" si="478"/>
        <v>0</v>
      </c>
      <c r="DE67" s="1">
        <f t="shared" si="478"/>
        <v>0</v>
      </c>
      <c r="DF67" s="1">
        <f t="shared" si="478"/>
        <v>0</v>
      </c>
      <c r="DG67" s="1">
        <f t="shared" si="478"/>
        <v>0</v>
      </c>
      <c r="DH67" s="1">
        <f t="shared" si="478"/>
        <v>0</v>
      </c>
      <c r="DI67" s="1">
        <f t="shared" si="478"/>
        <v>0</v>
      </c>
      <c r="DJ67" s="1">
        <f t="shared" si="478"/>
        <v>0</v>
      </c>
      <c r="DK67" s="1">
        <f t="shared" si="478"/>
        <v>0</v>
      </c>
      <c r="DL67" s="1">
        <f t="shared" si="478"/>
        <v>0</v>
      </c>
      <c r="DM67" s="1">
        <f t="shared" si="478"/>
        <v>0</v>
      </c>
      <c r="DN67" s="1">
        <f t="shared" si="478"/>
        <v>0</v>
      </c>
      <c r="DO67" s="1">
        <f t="shared" si="478"/>
        <v>0</v>
      </c>
      <c r="DP67" s="1">
        <f t="shared" si="478"/>
        <v>0</v>
      </c>
      <c r="DQ67" s="1">
        <f t="shared" si="478"/>
        <v>0</v>
      </c>
      <c r="DR67" s="1">
        <f t="shared" si="478"/>
        <v>0</v>
      </c>
      <c r="DS67" s="1">
        <f t="shared" si="478"/>
        <v>0</v>
      </c>
      <c r="DT67" s="1">
        <f t="shared" si="478"/>
        <v>0</v>
      </c>
      <c r="DU67" s="1">
        <f t="shared" si="478"/>
        <v>0</v>
      </c>
      <c r="DV67" s="1">
        <f t="shared" si="478"/>
        <v>0</v>
      </c>
    </row>
    <row r="68" spans="1:126" x14ac:dyDescent="0.25">
      <c r="A68" s="26" t="str">
        <f>+"Terreno "&amp;Tipo_Terreno&amp;" - "&amp;"Transformador Kw"</f>
        <v>Terreno Plano - Transformador Kw</v>
      </c>
      <c r="B68" s="36">
        <f t="shared" si="476"/>
        <v>6691474.0949999997</v>
      </c>
      <c r="C68" s="26"/>
      <c r="D68" s="35"/>
      <c r="E68" s="35">
        <f t="shared" si="37"/>
        <v>56</v>
      </c>
      <c r="F68" s="1">
        <f t="shared" si="479"/>
        <v>6691474.0949999997</v>
      </c>
      <c r="G68" s="1">
        <f t="shared" si="477"/>
        <v>0</v>
      </c>
      <c r="H68" s="1">
        <f t="shared" si="477"/>
        <v>0</v>
      </c>
      <c r="I68" s="1">
        <f t="shared" si="477"/>
        <v>0</v>
      </c>
      <c r="J68" s="1">
        <f t="shared" si="477"/>
        <v>0</v>
      </c>
      <c r="K68" s="1">
        <f t="shared" si="477"/>
        <v>0</v>
      </c>
      <c r="L68" s="1">
        <f t="shared" si="477"/>
        <v>0</v>
      </c>
      <c r="M68" s="1">
        <f t="shared" si="477"/>
        <v>0</v>
      </c>
      <c r="N68" s="1">
        <f t="shared" si="477"/>
        <v>0</v>
      </c>
      <c r="O68" s="1">
        <f t="shared" si="477"/>
        <v>0</v>
      </c>
      <c r="P68" s="1">
        <f t="shared" si="477"/>
        <v>0</v>
      </c>
      <c r="Q68" s="1">
        <f t="shared" si="477"/>
        <v>0</v>
      </c>
      <c r="R68" s="1">
        <f t="shared" si="477"/>
        <v>0</v>
      </c>
      <c r="S68" s="1">
        <f t="shared" si="477"/>
        <v>0</v>
      </c>
      <c r="T68" s="1">
        <f t="shared" si="477"/>
        <v>0</v>
      </c>
      <c r="U68" s="1">
        <f t="shared" si="477"/>
        <v>0</v>
      </c>
      <c r="V68" s="1">
        <f t="shared" si="477"/>
        <v>0</v>
      </c>
      <c r="W68" s="1">
        <f t="shared" si="477"/>
        <v>0</v>
      </c>
      <c r="X68" s="1">
        <f t="shared" si="477"/>
        <v>0</v>
      </c>
      <c r="Y68" s="1">
        <f t="shared" si="477"/>
        <v>0</v>
      </c>
      <c r="Z68" s="1">
        <f t="shared" si="477"/>
        <v>0</v>
      </c>
      <c r="AA68" s="1">
        <f t="shared" si="477"/>
        <v>0</v>
      </c>
      <c r="AB68" s="1">
        <f t="shared" si="477"/>
        <v>0</v>
      </c>
      <c r="AC68" s="1">
        <f t="shared" si="477"/>
        <v>0</v>
      </c>
      <c r="AD68" s="1">
        <f t="shared" si="477"/>
        <v>0</v>
      </c>
      <c r="AE68" s="1">
        <f t="shared" si="477"/>
        <v>0</v>
      </c>
      <c r="AF68" s="1">
        <f t="shared" si="477"/>
        <v>0</v>
      </c>
      <c r="AG68" s="1">
        <f t="shared" si="477"/>
        <v>0</v>
      </c>
      <c r="AH68" s="1">
        <f t="shared" si="477"/>
        <v>0</v>
      </c>
      <c r="AI68" s="1">
        <f t="shared" si="477"/>
        <v>0</v>
      </c>
      <c r="AJ68" s="1">
        <f t="shared" si="477"/>
        <v>0</v>
      </c>
      <c r="AK68" s="1">
        <f t="shared" si="477"/>
        <v>0</v>
      </c>
      <c r="AL68" s="1">
        <f t="shared" si="477"/>
        <v>0</v>
      </c>
      <c r="AM68" s="1">
        <f t="shared" si="477"/>
        <v>0</v>
      </c>
      <c r="AN68" s="1">
        <f t="shared" si="477"/>
        <v>0</v>
      </c>
      <c r="AO68" s="1">
        <f t="shared" si="477"/>
        <v>0</v>
      </c>
      <c r="AP68" s="1">
        <f t="shared" si="477"/>
        <v>0</v>
      </c>
      <c r="AQ68" s="1">
        <f t="shared" si="477"/>
        <v>0</v>
      </c>
      <c r="AR68" s="1">
        <f t="shared" si="477"/>
        <v>0</v>
      </c>
      <c r="AS68" s="1">
        <f t="shared" si="477"/>
        <v>0</v>
      </c>
      <c r="AT68" s="1">
        <f t="shared" si="477"/>
        <v>0</v>
      </c>
      <c r="AU68" s="1">
        <f t="shared" si="477"/>
        <v>0</v>
      </c>
      <c r="AV68" s="1">
        <f t="shared" si="477"/>
        <v>0</v>
      </c>
      <c r="AW68" s="1">
        <f t="shared" si="477"/>
        <v>0</v>
      </c>
      <c r="AX68" s="1">
        <f t="shared" si="477"/>
        <v>0</v>
      </c>
      <c r="AY68" s="1">
        <f t="shared" si="477"/>
        <v>0</v>
      </c>
      <c r="AZ68" s="1">
        <f t="shared" si="477"/>
        <v>0</v>
      </c>
      <c r="BA68" s="1">
        <f t="shared" si="477"/>
        <v>0</v>
      </c>
      <c r="BB68" s="1">
        <f t="shared" si="477"/>
        <v>0</v>
      </c>
      <c r="BC68" s="1">
        <f t="shared" si="477"/>
        <v>0</v>
      </c>
      <c r="BD68" s="1">
        <f t="shared" si="477"/>
        <v>0</v>
      </c>
      <c r="BE68" s="1">
        <f t="shared" si="477"/>
        <v>0</v>
      </c>
      <c r="BF68" s="1">
        <f t="shared" si="477"/>
        <v>0</v>
      </c>
      <c r="BG68" s="1">
        <f t="shared" si="477"/>
        <v>0</v>
      </c>
      <c r="BH68" s="1">
        <f t="shared" si="477"/>
        <v>0</v>
      </c>
      <c r="BI68" s="1">
        <f t="shared" si="477"/>
        <v>0</v>
      </c>
      <c r="BJ68" s="1">
        <f t="shared" si="477"/>
        <v>0</v>
      </c>
      <c r="BK68" s="1">
        <f t="shared" si="477"/>
        <v>0</v>
      </c>
      <c r="BL68" s="1">
        <f t="shared" si="477"/>
        <v>0</v>
      </c>
      <c r="BM68" s="1">
        <f t="shared" si="477"/>
        <v>0</v>
      </c>
      <c r="BN68" s="1">
        <f t="shared" si="477"/>
        <v>0</v>
      </c>
      <c r="BO68" s="1">
        <f t="shared" si="477"/>
        <v>0</v>
      </c>
      <c r="BP68" s="1">
        <f t="shared" si="477"/>
        <v>0</v>
      </c>
      <c r="BQ68" s="1">
        <f t="shared" si="477"/>
        <v>0</v>
      </c>
      <c r="BR68" s="1">
        <f t="shared" si="478"/>
        <v>0</v>
      </c>
      <c r="BS68" s="1">
        <f t="shared" si="478"/>
        <v>0</v>
      </c>
      <c r="BT68" s="1">
        <f t="shared" si="478"/>
        <v>0</v>
      </c>
      <c r="BU68" s="1">
        <f t="shared" si="478"/>
        <v>0</v>
      </c>
      <c r="BV68" s="1">
        <f t="shared" si="478"/>
        <v>0</v>
      </c>
      <c r="BW68" s="1">
        <f t="shared" si="478"/>
        <v>0</v>
      </c>
      <c r="BX68" s="1">
        <f t="shared" si="478"/>
        <v>0</v>
      </c>
      <c r="BY68" s="1">
        <f t="shared" si="478"/>
        <v>0</v>
      </c>
      <c r="BZ68" s="1">
        <f t="shared" si="478"/>
        <v>0</v>
      </c>
      <c r="CA68" s="1">
        <f t="shared" si="478"/>
        <v>0</v>
      </c>
      <c r="CB68" s="1">
        <f t="shared" si="478"/>
        <v>0</v>
      </c>
      <c r="CC68" s="1">
        <f t="shared" si="478"/>
        <v>0</v>
      </c>
      <c r="CD68" s="1">
        <f t="shared" si="478"/>
        <v>0</v>
      </c>
      <c r="CE68" s="1">
        <f t="shared" si="478"/>
        <v>0</v>
      </c>
      <c r="CF68" s="1">
        <f t="shared" si="478"/>
        <v>0</v>
      </c>
      <c r="CG68" s="1">
        <f t="shared" si="478"/>
        <v>0</v>
      </c>
      <c r="CH68" s="1">
        <f t="shared" si="478"/>
        <v>0</v>
      </c>
      <c r="CI68" s="1">
        <f t="shared" si="478"/>
        <v>0</v>
      </c>
      <c r="CJ68" s="1">
        <f t="shared" si="478"/>
        <v>0</v>
      </c>
      <c r="CK68" s="1">
        <f t="shared" si="478"/>
        <v>0</v>
      </c>
      <c r="CL68" s="1">
        <f t="shared" si="478"/>
        <v>0</v>
      </c>
      <c r="CM68" s="1">
        <f t="shared" si="478"/>
        <v>0</v>
      </c>
      <c r="CN68" s="1">
        <f t="shared" si="478"/>
        <v>0</v>
      </c>
      <c r="CO68" s="1">
        <f t="shared" si="478"/>
        <v>0</v>
      </c>
      <c r="CP68" s="1">
        <f t="shared" si="478"/>
        <v>0</v>
      </c>
      <c r="CQ68" s="1">
        <f t="shared" si="478"/>
        <v>0</v>
      </c>
      <c r="CR68" s="1">
        <f t="shared" si="478"/>
        <v>0</v>
      </c>
      <c r="CS68" s="1">
        <f t="shared" si="478"/>
        <v>0</v>
      </c>
      <c r="CT68" s="1">
        <f t="shared" si="478"/>
        <v>0</v>
      </c>
      <c r="CU68" s="1">
        <f t="shared" si="478"/>
        <v>0</v>
      </c>
      <c r="CV68" s="1">
        <f t="shared" si="478"/>
        <v>0</v>
      </c>
      <c r="CW68" s="1">
        <f t="shared" si="478"/>
        <v>0</v>
      </c>
      <c r="CX68" s="1">
        <f t="shared" si="478"/>
        <v>0</v>
      </c>
      <c r="CY68" s="1">
        <f t="shared" si="478"/>
        <v>0</v>
      </c>
      <c r="CZ68" s="1">
        <f t="shared" si="478"/>
        <v>0</v>
      </c>
      <c r="DA68" s="1">
        <f t="shared" si="478"/>
        <v>0</v>
      </c>
      <c r="DB68" s="1">
        <f t="shared" si="478"/>
        <v>0</v>
      </c>
      <c r="DC68" s="1">
        <f t="shared" si="478"/>
        <v>0</v>
      </c>
      <c r="DD68" s="1">
        <f t="shared" si="478"/>
        <v>0</v>
      </c>
      <c r="DE68" s="1">
        <f t="shared" si="478"/>
        <v>0</v>
      </c>
      <c r="DF68" s="1">
        <f t="shared" si="478"/>
        <v>0</v>
      </c>
      <c r="DG68" s="1">
        <f t="shared" si="478"/>
        <v>0</v>
      </c>
      <c r="DH68" s="1">
        <f t="shared" si="478"/>
        <v>0</v>
      </c>
      <c r="DI68" s="1">
        <f t="shared" si="478"/>
        <v>0</v>
      </c>
      <c r="DJ68" s="1">
        <f t="shared" si="478"/>
        <v>0</v>
      </c>
      <c r="DK68" s="1">
        <f t="shared" si="478"/>
        <v>0</v>
      </c>
      <c r="DL68" s="1">
        <f t="shared" si="478"/>
        <v>0</v>
      </c>
      <c r="DM68" s="1">
        <f t="shared" si="478"/>
        <v>0</v>
      </c>
      <c r="DN68" s="1">
        <f t="shared" si="478"/>
        <v>0</v>
      </c>
      <c r="DO68" s="1">
        <f t="shared" si="478"/>
        <v>0</v>
      </c>
      <c r="DP68" s="1">
        <f t="shared" si="478"/>
        <v>0</v>
      </c>
      <c r="DQ68" s="1">
        <f t="shared" si="478"/>
        <v>0</v>
      </c>
      <c r="DR68" s="1">
        <f t="shared" si="478"/>
        <v>0</v>
      </c>
      <c r="DS68" s="1">
        <f t="shared" si="478"/>
        <v>0</v>
      </c>
      <c r="DT68" s="1">
        <f t="shared" si="478"/>
        <v>0</v>
      </c>
      <c r="DU68" s="1">
        <f t="shared" si="478"/>
        <v>0</v>
      </c>
      <c r="DV68" s="1">
        <f t="shared" si="478"/>
        <v>0</v>
      </c>
    </row>
    <row r="69" spans="1:126" x14ac:dyDescent="0.25">
      <c r="A69" s="26" t="str">
        <f>+"Terreno "&amp;Tipo_Terreno&amp;" - "&amp;"Derechos de conexión"</f>
        <v>Terreno Plano - Derechos de conexión</v>
      </c>
      <c r="B69" s="36">
        <f t="shared" si="476"/>
        <v>460286.44419999997</v>
      </c>
      <c r="C69" s="26"/>
      <c r="D69" s="35"/>
      <c r="E69" s="35">
        <f t="shared" si="37"/>
        <v>56</v>
      </c>
      <c r="F69" s="1">
        <f t="shared" si="479"/>
        <v>460286.44419999997</v>
      </c>
      <c r="G69" s="1">
        <f t="shared" si="477"/>
        <v>0</v>
      </c>
      <c r="H69" s="1">
        <f t="shared" si="477"/>
        <v>0</v>
      </c>
      <c r="I69" s="1">
        <f t="shared" si="477"/>
        <v>0</v>
      </c>
      <c r="J69" s="1">
        <f t="shared" si="477"/>
        <v>0</v>
      </c>
      <c r="K69" s="1">
        <f t="shared" si="477"/>
        <v>0</v>
      </c>
      <c r="L69" s="1">
        <f t="shared" si="477"/>
        <v>0</v>
      </c>
      <c r="M69" s="1">
        <f t="shared" si="477"/>
        <v>0</v>
      </c>
      <c r="N69" s="1">
        <f t="shared" si="477"/>
        <v>0</v>
      </c>
      <c r="O69" s="1">
        <f t="shared" si="477"/>
        <v>0</v>
      </c>
      <c r="P69" s="1">
        <f t="shared" si="477"/>
        <v>0</v>
      </c>
      <c r="Q69" s="1">
        <f t="shared" si="477"/>
        <v>0</v>
      </c>
      <c r="R69" s="1">
        <f t="shared" si="477"/>
        <v>0</v>
      </c>
      <c r="S69" s="1">
        <f t="shared" si="477"/>
        <v>0</v>
      </c>
      <c r="T69" s="1">
        <f t="shared" si="477"/>
        <v>0</v>
      </c>
      <c r="U69" s="1">
        <f t="shared" si="477"/>
        <v>0</v>
      </c>
      <c r="V69" s="1">
        <f t="shared" si="477"/>
        <v>0</v>
      </c>
      <c r="W69" s="1">
        <f t="shared" si="477"/>
        <v>0</v>
      </c>
      <c r="X69" s="1">
        <f t="shared" si="477"/>
        <v>0</v>
      </c>
      <c r="Y69" s="1">
        <f t="shared" si="477"/>
        <v>0</v>
      </c>
      <c r="Z69" s="1">
        <f t="shared" si="477"/>
        <v>0</v>
      </c>
      <c r="AA69" s="1">
        <f t="shared" si="477"/>
        <v>0</v>
      </c>
      <c r="AB69" s="1">
        <f t="shared" si="477"/>
        <v>0</v>
      </c>
      <c r="AC69" s="1">
        <f t="shared" si="477"/>
        <v>0</v>
      </c>
      <c r="AD69" s="1">
        <f t="shared" si="477"/>
        <v>0</v>
      </c>
      <c r="AE69" s="1">
        <f t="shared" si="477"/>
        <v>0</v>
      </c>
      <c r="AF69" s="1">
        <f t="shared" si="477"/>
        <v>0</v>
      </c>
      <c r="AG69" s="1">
        <f t="shared" si="477"/>
        <v>0</v>
      </c>
      <c r="AH69" s="1">
        <f t="shared" si="477"/>
        <v>0</v>
      </c>
      <c r="AI69" s="1">
        <f t="shared" si="477"/>
        <v>0</v>
      </c>
      <c r="AJ69" s="1">
        <f t="shared" si="477"/>
        <v>0</v>
      </c>
      <c r="AK69" s="1">
        <f t="shared" si="477"/>
        <v>0</v>
      </c>
      <c r="AL69" s="1">
        <f t="shared" si="477"/>
        <v>0</v>
      </c>
      <c r="AM69" s="1">
        <f t="shared" si="477"/>
        <v>0</v>
      </c>
      <c r="AN69" s="1">
        <f t="shared" si="477"/>
        <v>0</v>
      </c>
      <c r="AO69" s="1">
        <f t="shared" si="477"/>
        <v>0</v>
      </c>
      <c r="AP69" s="1">
        <f t="shared" si="477"/>
        <v>0</v>
      </c>
      <c r="AQ69" s="1">
        <f t="shared" si="477"/>
        <v>0</v>
      </c>
      <c r="AR69" s="1">
        <f t="shared" si="477"/>
        <v>0</v>
      </c>
      <c r="AS69" s="1">
        <f t="shared" si="477"/>
        <v>0</v>
      </c>
      <c r="AT69" s="1">
        <f t="shared" si="477"/>
        <v>0</v>
      </c>
      <c r="AU69" s="1">
        <f t="shared" si="477"/>
        <v>0</v>
      </c>
      <c r="AV69" s="1">
        <f t="shared" si="477"/>
        <v>0</v>
      </c>
      <c r="AW69" s="1">
        <f t="shared" si="477"/>
        <v>0</v>
      </c>
      <c r="AX69" s="1">
        <f t="shared" si="477"/>
        <v>0</v>
      </c>
      <c r="AY69" s="1">
        <f t="shared" si="477"/>
        <v>0</v>
      </c>
      <c r="AZ69" s="1">
        <f t="shared" si="477"/>
        <v>0</v>
      </c>
      <c r="BA69" s="1">
        <f t="shared" si="477"/>
        <v>0</v>
      </c>
      <c r="BB69" s="1">
        <f t="shared" si="477"/>
        <v>0</v>
      </c>
      <c r="BC69" s="1">
        <f t="shared" si="477"/>
        <v>0</v>
      </c>
      <c r="BD69" s="1">
        <f t="shared" si="477"/>
        <v>0</v>
      </c>
      <c r="BE69" s="1">
        <f t="shared" si="477"/>
        <v>0</v>
      </c>
      <c r="BF69" s="1">
        <f t="shared" si="477"/>
        <v>0</v>
      </c>
      <c r="BG69" s="1">
        <f t="shared" si="477"/>
        <v>0</v>
      </c>
      <c r="BH69" s="1">
        <f t="shared" si="477"/>
        <v>0</v>
      </c>
      <c r="BI69" s="1">
        <f t="shared" si="477"/>
        <v>0</v>
      </c>
      <c r="BJ69" s="1">
        <f t="shared" si="477"/>
        <v>0</v>
      </c>
      <c r="BK69" s="1">
        <f t="shared" si="477"/>
        <v>0</v>
      </c>
      <c r="BL69" s="1">
        <f t="shared" si="477"/>
        <v>0</v>
      </c>
      <c r="BM69" s="1">
        <f t="shared" si="477"/>
        <v>0</v>
      </c>
      <c r="BN69" s="1">
        <f t="shared" si="477"/>
        <v>0</v>
      </c>
      <c r="BO69" s="1">
        <f t="shared" si="477"/>
        <v>0</v>
      </c>
      <c r="BP69" s="1">
        <f t="shared" si="477"/>
        <v>0</v>
      </c>
      <c r="BQ69" s="1">
        <f t="shared" si="477"/>
        <v>0</v>
      </c>
      <c r="BR69" s="1">
        <f t="shared" si="478"/>
        <v>0</v>
      </c>
      <c r="BS69" s="1">
        <f t="shared" si="478"/>
        <v>0</v>
      </c>
      <c r="BT69" s="1">
        <f t="shared" si="478"/>
        <v>0</v>
      </c>
      <c r="BU69" s="1">
        <f t="shared" si="478"/>
        <v>0</v>
      </c>
      <c r="BV69" s="1">
        <f t="shared" si="478"/>
        <v>0</v>
      </c>
      <c r="BW69" s="1">
        <f t="shared" si="478"/>
        <v>0</v>
      </c>
      <c r="BX69" s="1">
        <f t="shared" si="478"/>
        <v>0</v>
      </c>
      <c r="BY69" s="1">
        <f t="shared" si="478"/>
        <v>0</v>
      </c>
      <c r="BZ69" s="1">
        <f t="shared" si="478"/>
        <v>0</v>
      </c>
      <c r="CA69" s="1">
        <f t="shared" si="478"/>
        <v>0</v>
      </c>
      <c r="CB69" s="1">
        <f t="shared" si="478"/>
        <v>0</v>
      </c>
      <c r="CC69" s="1">
        <f t="shared" si="478"/>
        <v>0</v>
      </c>
      <c r="CD69" s="1">
        <f t="shared" si="478"/>
        <v>0</v>
      </c>
      <c r="CE69" s="1">
        <f t="shared" si="478"/>
        <v>0</v>
      </c>
      <c r="CF69" s="1">
        <f t="shared" si="478"/>
        <v>0</v>
      </c>
      <c r="CG69" s="1">
        <f t="shared" si="478"/>
        <v>0</v>
      </c>
      <c r="CH69" s="1">
        <f t="shared" si="478"/>
        <v>0</v>
      </c>
      <c r="CI69" s="1">
        <f t="shared" si="478"/>
        <v>0</v>
      </c>
      <c r="CJ69" s="1">
        <f t="shared" si="478"/>
        <v>0</v>
      </c>
      <c r="CK69" s="1">
        <f t="shared" si="478"/>
        <v>0</v>
      </c>
      <c r="CL69" s="1">
        <f t="shared" si="478"/>
        <v>0</v>
      </c>
      <c r="CM69" s="1">
        <f t="shared" si="478"/>
        <v>0</v>
      </c>
      <c r="CN69" s="1">
        <f t="shared" si="478"/>
        <v>0</v>
      </c>
      <c r="CO69" s="1">
        <f t="shared" si="478"/>
        <v>0</v>
      </c>
      <c r="CP69" s="1">
        <f t="shared" si="478"/>
        <v>0</v>
      </c>
      <c r="CQ69" s="1">
        <f t="shared" si="478"/>
        <v>0</v>
      </c>
      <c r="CR69" s="1">
        <f t="shared" si="478"/>
        <v>0</v>
      </c>
      <c r="CS69" s="1">
        <f t="shared" si="478"/>
        <v>0</v>
      </c>
      <c r="CT69" s="1">
        <f t="shared" si="478"/>
        <v>0</v>
      </c>
      <c r="CU69" s="1">
        <f t="shared" si="478"/>
        <v>0</v>
      </c>
      <c r="CV69" s="1">
        <f t="shared" si="478"/>
        <v>0</v>
      </c>
      <c r="CW69" s="1">
        <f t="shared" si="478"/>
        <v>0</v>
      </c>
      <c r="CX69" s="1">
        <f t="shared" si="478"/>
        <v>0</v>
      </c>
      <c r="CY69" s="1">
        <f t="shared" si="478"/>
        <v>0</v>
      </c>
      <c r="CZ69" s="1">
        <f t="shared" si="478"/>
        <v>0</v>
      </c>
      <c r="DA69" s="1">
        <f t="shared" si="478"/>
        <v>0</v>
      </c>
      <c r="DB69" s="1">
        <f t="shared" si="478"/>
        <v>0</v>
      </c>
      <c r="DC69" s="1">
        <f t="shared" si="478"/>
        <v>0</v>
      </c>
      <c r="DD69" s="1">
        <f t="shared" si="478"/>
        <v>0</v>
      </c>
      <c r="DE69" s="1">
        <f t="shared" si="478"/>
        <v>0</v>
      </c>
      <c r="DF69" s="1">
        <f t="shared" si="478"/>
        <v>0</v>
      </c>
      <c r="DG69" s="1">
        <f t="shared" si="478"/>
        <v>0</v>
      </c>
      <c r="DH69" s="1">
        <f t="shared" si="478"/>
        <v>0</v>
      </c>
      <c r="DI69" s="1">
        <f t="shared" si="478"/>
        <v>0</v>
      </c>
      <c r="DJ69" s="1">
        <f t="shared" si="478"/>
        <v>0</v>
      </c>
      <c r="DK69" s="1">
        <f t="shared" si="478"/>
        <v>0</v>
      </c>
      <c r="DL69" s="1">
        <f t="shared" si="478"/>
        <v>0</v>
      </c>
      <c r="DM69" s="1">
        <f t="shared" si="478"/>
        <v>0</v>
      </c>
      <c r="DN69" s="1">
        <f t="shared" si="478"/>
        <v>0</v>
      </c>
      <c r="DO69" s="1">
        <f t="shared" si="478"/>
        <v>0</v>
      </c>
      <c r="DP69" s="1">
        <f t="shared" si="478"/>
        <v>0</v>
      </c>
      <c r="DQ69" s="1">
        <f t="shared" si="478"/>
        <v>0</v>
      </c>
      <c r="DR69" s="1">
        <f t="shared" si="478"/>
        <v>0</v>
      </c>
      <c r="DS69" s="1">
        <f t="shared" si="478"/>
        <v>0</v>
      </c>
      <c r="DT69" s="1">
        <f t="shared" si="478"/>
        <v>0</v>
      </c>
      <c r="DU69" s="1">
        <f t="shared" si="478"/>
        <v>0</v>
      </c>
      <c r="DV69" s="1">
        <f t="shared" si="478"/>
        <v>0</v>
      </c>
    </row>
    <row r="70" spans="1:126" x14ac:dyDescent="0.25">
      <c r="A70" s="26" t="str">
        <f>+"Terreno "&amp;Tipo_Terreno&amp;" - "&amp;"Maniobras en conexión"</f>
        <v>Terreno Plano - Maniobras en conexión</v>
      </c>
      <c r="B70" s="36">
        <f t="shared" si="476"/>
        <v>1653418.3960279999</v>
      </c>
      <c r="C70" s="26"/>
      <c r="D70" s="35"/>
      <c r="E70" s="35">
        <f t="shared" si="37"/>
        <v>56</v>
      </c>
      <c r="F70" s="1">
        <f t="shared" si="479"/>
        <v>1653418.3960279999</v>
      </c>
      <c r="G70" s="1">
        <f t="shared" si="477"/>
        <v>0</v>
      </c>
      <c r="H70" s="1">
        <f t="shared" si="477"/>
        <v>0</v>
      </c>
      <c r="I70" s="1">
        <f t="shared" ref="I70:BR74" si="480">+IF($A70="","",IF($D70=I$15,$B70+IF(MONTH($B$8)-MONTH($B$7)+$E$14=H$14,$C70,0),0))</f>
        <v>0</v>
      </c>
      <c r="J70" s="1">
        <f t="shared" si="480"/>
        <v>0</v>
      </c>
      <c r="K70" s="1">
        <f t="shared" si="480"/>
        <v>0</v>
      </c>
      <c r="L70" s="1">
        <f t="shared" si="480"/>
        <v>0</v>
      </c>
      <c r="M70" s="1">
        <f t="shared" si="480"/>
        <v>0</v>
      </c>
      <c r="N70" s="1">
        <f t="shared" si="480"/>
        <v>0</v>
      </c>
      <c r="O70" s="1">
        <f t="shared" si="480"/>
        <v>0</v>
      </c>
      <c r="P70" s="1">
        <f t="shared" si="480"/>
        <v>0</v>
      </c>
      <c r="Q70" s="1">
        <f t="shared" si="480"/>
        <v>0</v>
      </c>
      <c r="R70" s="1">
        <f t="shared" si="480"/>
        <v>0</v>
      </c>
      <c r="S70" s="1">
        <f t="shared" si="480"/>
        <v>0</v>
      </c>
      <c r="T70" s="1">
        <f t="shared" si="480"/>
        <v>0</v>
      </c>
      <c r="U70" s="1">
        <f t="shared" si="480"/>
        <v>0</v>
      </c>
      <c r="V70" s="1">
        <f t="shared" si="480"/>
        <v>0</v>
      </c>
      <c r="W70" s="1">
        <f t="shared" si="480"/>
        <v>0</v>
      </c>
      <c r="X70" s="1">
        <f t="shared" si="480"/>
        <v>0</v>
      </c>
      <c r="Y70" s="1">
        <f t="shared" si="480"/>
        <v>0</v>
      </c>
      <c r="Z70" s="1">
        <f t="shared" si="480"/>
        <v>0</v>
      </c>
      <c r="AA70" s="1">
        <f t="shared" si="480"/>
        <v>0</v>
      </c>
      <c r="AB70" s="1">
        <f t="shared" si="480"/>
        <v>0</v>
      </c>
      <c r="AC70" s="1">
        <f t="shared" si="480"/>
        <v>0</v>
      </c>
      <c r="AD70" s="1">
        <f t="shared" si="480"/>
        <v>0</v>
      </c>
      <c r="AE70" s="1">
        <f t="shared" si="480"/>
        <v>0</v>
      </c>
      <c r="AF70" s="1">
        <f t="shared" si="480"/>
        <v>0</v>
      </c>
      <c r="AG70" s="1">
        <f t="shared" si="480"/>
        <v>0</v>
      </c>
      <c r="AH70" s="1">
        <f t="shared" si="480"/>
        <v>0</v>
      </c>
      <c r="AI70" s="1">
        <f t="shared" si="480"/>
        <v>0</v>
      </c>
      <c r="AJ70" s="1">
        <f t="shared" si="480"/>
        <v>0</v>
      </c>
      <c r="AK70" s="1">
        <f t="shared" si="480"/>
        <v>0</v>
      </c>
      <c r="AL70" s="1">
        <f t="shared" si="480"/>
        <v>0</v>
      </c>
      <c r="AM70" s="1">
        <f t="shared" si="480"/>
        <v>0</v>
      </c>
      <c r="AN70" s="1">
        <f t="shared" si="480"/>
        <v>0</v>
      </c>
      <c r="AO70" s="1">
        <f t="shared" si="480"/>
        <v>0</v>
      </c>
      <c r="AP70" s="1">
        <f t="shared" si="480"/>
        <v>0</v>
      </c>
      <c r="AQ70" s="1">
        <f t="shared" si="480"/>
        <v>0</v>
      </c>
      <c r="AR70" s="1">
        <f t="shared" si="480"/>
        <v>0</v>
      </c>
      <c r="AS70" s="1">
        <f t="shared" si="480"/>
        <v>0</v>
      </c>
      <c r="AT70" s="1">
        <f t="shared" si="480"/>
        <v>0</v>
      </c>
      <c r="AU70" s="1">
        <f t="shared" si="480"/>
        <v>0</v>
      </c>
      <c r="AV70" s="1">
        <f t="shared" si="480"/>
        <v>0</v>
      </c>
      <c r="AW70" s="1">
        <f t="shared" si="480"/>
        <v>0</v>
      </c>
      <c r="AX70" s="1">
        <f t="shared" si="480"/>
        <v>0</v>
      </c>
      <c r="AY70" s="1">
        <f t="shared" si="480"/>
        <v>0</v>
      </c>
      <c r="AZ70" s="1">
        <f t="shared" si="480"/>
        <v>0</v>
      </c>
      <c r="BA70" s="1">
        <f t="shared" si="480"/>
        <v>0</v>
      </c>
      <c r="BB70" s="1">
        <f t="shared" si="480"/>
        <v>0</v>
      </c>
      <c r="BC70" s="1">
        <f t="shared" si="480"/>
        <v>0</v>
      </c>
      <c r="BD70" s="1">
        <f t="shared" si="480"/>
        <v>0</v>
      </c>
      <c r="BE70" s="1">
        <f t="shared" si="480"/>
        <v>0</v>
      </c>
      <c r="BF70" s="1">
        <f t="shared" si="480"/>
        <v>0</v>
      </c>
      <c r="BG70" s="1">
        <f t="shared" si="480"/>
        <v>0</v>
      </c>
      <c r="BH70" s="1">
        <f t="shared" si="480"/>
        <v>0</v>
      </c>
      <c r="BI70" s="1">
        <f t="shared" si="480"/>
        <v>0</v>
      </c>
      <c r="BJ70" s="1">
        <f t="shared" si="480"/>
        <v>0</v>
      </c>
      <c r="BK70" s="1">
        <f t="shared" si="480"/>
        <v>0</v>
      </c>
      <c r="BL70" s="1">
        <f t="shared" si="480"/>
        <v>0</v>
      </c>
      <c r="BM70" s="1">
        <f t="shared" si="480"/>
        <v>0</v>
      </c>
      <c r="BN70" s="1">
        <f t="shared" si="480"/>
        <v>0</v>
      </c>
      <c r="BO70" s="1">
        <f t="shared" si="480"/>
        <v>0</v>
      </c>
      <c r="BP70" s="1">
        <f t="shared" si="480"/>
        <v>0</v>
      </c>
      <c r="BQ70" s="1">
        <f t="shared" si="480"/>
        <v>0</v>
      </c>
      <c r="BR70" s="1">
        <f t="shared" si="480"/>
        <v>0</v>
      </c>
      <c r="BS70" s="1">
        <f t="shared" si="478"/>
        <v>0</v>
      </c>
      <c r="BT70" s="1">
        <f t="shared" si="478"/>
        <v>0</v>
      </c>
      <c r="BU70" s="1">
        <f t="shared" si="478"/>
        <v>0</v>
      </c>
      <c r="BV70" s="1">
        <f t="shared" si="478"/>
        <v>0</v>
      </c>
      <c r="BW70" s="1">
        <f t="shared" si="478"/>
        <v>0</v>
      </c>
      <c r="BX70" s="1">
        <f t="shared" si="478"/>
        <v>0</v>
      </c>
      <c r="BY70" s="1">
        <f t="shared" si="478"/>
        <v>0</v>
      </c>
      <c r="BZ70" s="1">
        <f t="shared" si="478"/>
        <v>0</v>
      </c>
      <c r="CA70" s="1">
        <f t="shared" si="478"/>
        <v>0</v>
      </c>
      <c r="CB70" s="1">
        <f t="shared" si="478"/>
        <v>0</v>
      </c>
      <c r="CC70" s="1">
        <f t="shared" si="478"/>
        <v>0</v>
      </c>
      <c r="CD70" s="1">
        <f t="shared" si="478"/>
        <v>0</v>
      </c>
      <c r="CE70" s="1">
        <f t="shared" si="478"/>
        <v>0</v>
      </c>
      <c r="CF70" s="1">
        <f t="shared" si="478"/>
        <v>0</v>
      </c>
      <c r="CG70" s="1">
        <f t="shared" si="478"/>
        <v>0</v>
      </c>
      <c r="CH70" s="1">
        <f t="shared" si="478"/>
        <v>0</v>
      </c>
      <c r="CI70" s="1">
        <f t="shared" si="478"/>
        <v>0</v>
      </c>
      <c r="CJ70" s="1">
        <f t="shared" si="478"/>
        <v>0</v>
      </c>
      <c r="CK70" s="1">
        <f t="shared" si="478"/>
        <v>0</v>
      </c>
      <c r="CL70" s="1">
        <f t="shared" si="478"/>
        <v>0</v>
      </c>
      <c r="CM70" s="1">
        <f t="shared" si="478"/>
        <v>0</v>
      </c>
      <c r="CN70" s="1">
        <f t="shared" si="478"/>
        <v>0</v>
      </c>
      <c r="CO70" s="1">
        <f t="shared" si="478"/>
        <v>0</v>
      </c>
      <c r="CP70" s="1">
        <f t="shared" si="478"/>
        <v>0</v>
      </c>
      <c r="CQ70" s="1">
        <f t="shared" si="478"/>
        <v>0</v>
      </c>
      <c r="CR70" s="1">
        <f t="shared" si="478"/>
        <v>0</v>
      </c>
      <c r="CS70" s="1">
        <f t="shared" si="478"/>
        <v>0</v>
      </c>
      <c r="CT70" s="1">
        <f t="shared" ref="BS70:DV74" si="481">+IF($A70="","",IF($D70=CT$15,$B70+IF(MONTH($B$8)-MONTH($B$7)+$E$14=CS$14,$C70,0),0))</f>
        <v>0</v>
      </c>
      <c r="CU70" s="1">
        <f t="shared" si="481"/>
        <v>0</v>
      </c>
      <c r="CV70" s="1">
        <f t="shared" si="481"/>
        <v>0</v>
      </c>
      <c r="CW70" s="1">
        <f t="shared" si="481"/>
        <v>0</v>
      </c>
      <c r="CX70" s="1">
        <f t="shared" si="481"/>
        <v>0</v>
      </c>
      <c r="CY70" s="1">
        <f t="shared" si="481"/>
        <v>0</v>
      </c>
      <c r="CZ70" s="1">
        <f t="shared" si="481"/>
        <v>0</v>
      </c>
      <c r="DA70" s="1">
        <f t="shared" si="481"/>
        <v>0</v>
      </c>
      <c r="DB70" s="1">
        <f t="shared" si="481"/>
        <v>0</v>
      </c>
      <c r="DC70" s="1">
        <f t="shared" si="481"/>
        <v>0</v>
      </c>
      <c r="DD70" s="1">
        <f t="shared" si="481"/>
        <v>0</v>
      </c>
      <c r="DE70" s="1">
        <f t="shared" si="481"/>
        <v>0</v>
      </c>
      <c r="DF70" s="1">
        <f t="shared" si="481"/>
        <v>0</v>
      </c>
      <c r="DG70" s="1">
        <f t="shared" si="481"/>
        <v>0</v>
      </c>
      <c r="DH70" s="1">
        <f t="shared" si="481"/>
        <v>0</v>
      </c>
      <c r="DI70" s="1">
        <f t="shared" si="481"/>
        <v>0</v>
      </c>
      <c r="DJ70" s="1">
        <f t="shared" si="481"/>
        <v>0</v>
      </c>
      <c r="DK70" s="1">
        <f t="shared" si="481"/>
        <v>0</v>
      </c>
      <c r="DL70" s="1">
        <f t="shared" si="481"/>
        <v>0</v>
      </c>
      <c r="DM70" s="1">
        <f t="shared" si="481"/>
        <v>0</v>
      </c>
      <c r="DN70" s="1">
        <f t="shared" si="481"/>
        <v>0</v>
      </c>
      <c r="DO70" s="1">
        <f t="shared" si="481"/>
        <v>0</v>
      </c>
      <c r="DP70" s="1">
        <f t="shared" si="481"/>
        <v>0</v>
      </c>
      <c r="DQ70" s="1">
        <f t="shared" si="481"/>
        <v>0</v>
      </c>
      <c r="DR70" s="1">
        <f t="shared" si="481"/>
        <v>0</v>
      </c>
      <c r="DS70" s="1">
        <f t="shared" si="481"/>
        <v>0</v>
      </c>
      <c r="DT70" s="1">
        <f t="shared" si="481"/>
        <v>0</v>
      </c>
      <c r="DU70" s="1">
        <f t="shared" si="481"/>
        <v>0</v>
      </c>
      <c r="DV70" s="1">
        <f t="shared" si="481"/>
        <v>0</v>
      </c>
    </row>
    <row r="71" spans="1:126" x14ac:dyDescent="0.25">
      <c r="A71" s="26" t="str">
        <f>+"Terreno "&amp;Tipo_Terreno&amp;" - "&amp;"Parrarayos, Malla"</f>
        <v>Terreno Plano - Parrarayos, Malla</v>
      </c>
      <c r="B71" s="36">
        <f t="shared" si="476"/>
        <v>5165519.7299999995</v>
      </c>
      <c r="C71" s="26"/>
      <c r="D71" s="35"/>
      <c r="E71" s="35">
        <f t="shared" si="37"/>
        <v>56</v>
      </c>
      <c r="F71" s="1">
        <f t="shared" si="479"/>
        <v>5165519.7299999995</v>
      </c>
      <c r="G71" s="1">
        <f t="shared" si="479"/>
        <v>0</v>
      </c>
      <c r="H71" s="1">
        <f t="shared" si="479"/>
        <v>0</v>
      </c>
      <c r="I71" s="1">
        <f t="shared" si="479"/>
        <v>0</v>
      </c>
      <c r="J71" s="1">
        <f t="shared" si="479"/>
        <v>0</v>
      </c>
      <c r="K71" s="1">
        <f t="shared" si="479"/>
        <v>0</v>
      </c>
      <c r="L71" s="1">
        <f t="shared" si="479"/>
        <v>0</v>
      </c>
      <c r="M71" s="1">
        <f t="shared" si="479"/>
        <v>0</v>
      </c>
      <c r="N71" s="1">
        <f t="shared" si="479"/>
        <v>0</v>
      </c>
      <c r="O71" s="1">
        <f t="shared" si="479"/>
        <v>0</v>
      </c>
      <c r="P71" s="1">
        <f t="shared" si="479"/>
        <v>0</v>
      </c>
      <c r="Q71" s="1">
        <f t="shared" si="479"/>
        <v>0</v>
      </c>
      <c r="R71" s="1">
        <f t="shared" si="479"/>
        <v>0</v>
      </c>
      <c r="S71" s="1">
        <f t="shared" si="479"/>
        <v>0</v>
      </c>
      <c r="T71" s="1">
        <f t="shared" si="479"/>
        <v>0</v>
      </c>
      <c r="U71" s="1">
        <f t="shared" si="479"/>
        <v>0</v>
      </c>
      <c r="V71" s="1">
        <f t="shared" si="480"/>
        <v>0</v>
      </c>
      <c r="W71" s="1">
        <f t="shared" si="480"/>
        <v>0</v>
      </c>
      <c r="X71" s="1">
        <f t="shared" si="480"/>
        <v>0</v>
      </c>
      <c r="Y71" s="1">
        <f t="shared" si="480"/>
        <v>0</v>
      </c>
      <c r="Z71" s="1">
        <f t="shared" si="480"/>
        <v>0</v>
      </c>
      <c r="AA71" s="1">
        <f t="shared" si="480"/>
        <v>0</v>
      </c>
      <c r="AB71" s="1">
        <f t="shared" si="480"/>
        <v>0</v>
      </c>
      <c r="AC71" s="1">
        <f t="shared" si="480"/>
        <v>0</v>
      </c>
      <c r="AD71" s="1">
        <f t="shared" si="480"/>
        <v>0</v>
      </c>
      <c r="AE71" s="1">
        <f t="shared" si="480"/>
        <v>0</v>
      </c>
      <c r="AF71" s="1">
        <f t="shared" si="480"/>
        <v>0</v>
      </c>
      <c r="AG71" s="1">
        <f t="shared" si="480"/>
        <v>0</v>
      </c>
      <c r="AH71" s="1">
        <f t="shared" si="480"/>
        <v>0</v>
      </c>
      <c r="AI71" s="1">
        <f t="shared" si="480"/>
        <v>0</v>
      </c>
      <c r="AJ71" s="1">
        <f t="shared" si="480"/>
        <v>0</v>
      </c>
      <c r="AK71" s="1">
        <f t="shared" si="480"/>
        <v>0</v>
      </c>
      <c r="AL71" s="1">
        <f t="shared" si="480"/>
        <v>0</v>
      </c>
      <c r="AM71" s="1">
        <f t="shared" si="480"/>
        <v>0</v>
      </c>
      <c r="AN71" s="1">
        <f t="shared" si="480"/>
        <v>0</v>
      </c>
      <c r="AO71" s="1">
        <f t="shared" si="480"/>
        <v>0</v>
      </c>
      <c r="AP71" s="1">
        <f t="shared" si="480"/>
        <v>0</v>
      </c>
      <c r="AQ71" s="1">
        <f t="shared" si="480"/>
        <v>0</v>
      </c>
      <c r="AR71" s="1">
        <f t="shared" si="480"/>
        <v>0</v>
      </c>
      <c r="AS71" s="1">
        <f t="shared" si="480"/>
        <v>0</v>
      </c>
      <c r="AT71" s="1">
        <f t="shared" si="480"/>
        <v>0</v>
      </c>
      <c r="AU71" s="1">
        <f t="shared" si="480"/>
        <v>0</v>
      </c>
      <c r="AV71" s="1">
        <f t="shared" si="480"/>
        <v>0</v>
      </c>
      <c r="AW71" s="1">
        <f t="shared" si="480"/>
        <v>0</v>
      </c>
      <c r="AX71" s="1">
        <f t="shared" si="480"/>
        <v>0</v>
      </c>
      <c r="AY71" s="1">
        <f t="shared" si="480"/>
        <v>0</v>
      </c>
      <c r="AZ71" s="1">
        <f t="shared" si="480"/>
        <v>0</v>
      </c>
      <c r="BA71" s="1">
        <f t="shared" si="480"/>
        <v>0</v>
      </c>
      <c r="BB71" s="1">
        <f t="shared" si="480"/>
        <v>0</v>
      </c>
      <c r="BC71" s="1">
        <f t="shared" si="480"/>
        <v>0</v>
      </c>
      <c r="BD71" s="1">
        <f t="shared" si="480"/>
        <v>0</v>
      </c>
      <c r="BE71" s="1">
        <f t="shared" si="480"/>
        <v>0</v>
      </c>
      <c r="BF71" s="1">
        <f t="shared" si="480"/>
        <v>0</v>
      </c>
      <c r="BG71" s="1">
        <f t="shared" si="480"/>
        <v>0</v>
      </c>
      <c r="BH71" s="1">
        <f t="shared" si="480"/>
        <v>0</v>
      </c>
      <c r="BI71" s="1">
        <f t="shared" si="480"/>
        <v>0</v>
      </c>
      <c r="BJ71" s="1">
        <f t="shared" si="480"/>
        <v>0</v>
      </c>
      <c r="BK71" s="1">
        <f t="shared" si="480"/>
        <v>0</v>
      </c>
      <c r="BL71" s="1">
        <f t="shared" si="480"/>
        <v>0</v>
      </c>
      <c r="BM71" s="1">
        <f t="shared" si="480"/>
        <v>0</v>
      </c>
      <c r="BN71" s="1">
        <f t="shared" si="480"/>
        <v>0</v>
      </c>
      <c r="BO71" s="1">
        <f t="shared" si="480"/>
        <v>0</v>
      </c>
      <c r="BP71" s="1">
        <f t="shared" si="480"/>
        <v>0</v>
      </c>
      <c r="BQ71" s="1">
        <f t="shared" si="480"/>
        <v>0</v>
      </c>
      <c r="BR71" s="1">
        <f t="shared" si="480"/>
        <v>0</v>
      </c>
      <c r="BS71" s="1">
        <f t="shared" si="481"/>
        <v>0</v>
      </c>
      <c r="BT71" s="1">
        <f t="shared" si="481"/>
        <v>0</v>
      </c>
      <c r="BU71" s="1">
        <f t="shared" si="481"/>
        <v>0</v>
      </c>
      <c r="BV71" s="1">
        <f t="shared" si="481"/>
        <v>0</v>
      </c>
      <c r="BW71" s="1">
        <f t="shared" si="481"/>
        <v>0</v>
      </c>
      <c r="BX71" s="1">
        <f t="shared" si="481"/>
        <v>0</v>
      </c>
      <c r="BY71" s="1">
        <f t="shared" si="481"/>
        <v>0</v>
      </c>
      <c r="BZ71" s="1">
        <f t="shared" si="481"/>
        <v>0</v>
      </c>
      <c r="CA71" s="1">
        <f t="shared" si="481"/>
        <v>0</v>
      </c>
      <c r="CB71" s="1">
        <f t="shared" si="481"/>
        <v>0</v>
      </c>
      <c r="CC71" s="1">
        <f t="shared" si="481"/>
        <v>0</v>
      </c>
      <c r="CD71" s="1">
        <f t="shared" si="481"/>
        <v>0</v>
      </c>
      <c r="CE71" s="1">
        <f t="shared" si="481"/>
        <v>0</v>
      </c>
      <c r="CF71" s="1">
        <f t="shared" si="481"/>
        <v>0</v>
      </c>
      <c r="CG71" s="1">
        <f t="shared" si="481"/>
        <v>0</v>
      </c>
      <c r="CH71" s="1">
        <f t="shared" si="481"/>
        <v>0</v>
      </c>
      <c r="CI71" s="1">
        <f t="shared" si="481"/>
        <v>0</v>
      </c>
      <c r="CJ71" s="1">
        <f t="shared" si="481"/>
        <v>0</v>
      </c>
      <c r="CK71" s="1">
        <f t="shared" si="481"/>
        <v>0</v>
      </c>
      <c r="CL71" s="1">
        <f t="shared" si="481"/>
        <v>0</v>
      </c>
      <c r="CM71" s="1">
        <f t="shared" si="481"/>
        <v>0</v>
      </c>
      <c r="CN71" s="1">
        <f t="shared" si="481"/>
        <v>0</v>
      </c>
      <c r="CO71" s="1">
        <f t="shared" si="481"/>
        <v>0</v>
      </c>
      <c r="CP71" s="1">
        <f t="shared" si="481"/>
        <v>0</v>
      </c>
      <c r="CQ71" s="1">
        <f t="shared" si="481"/>
        <v>0</v>
      </c>
      <c r="CR71" s="1">
        <f t="shared" si="481"/>
        <v>0</v>
      </c>
      <c r="CS71" s="1">
        <f t="shared" si="481"/>
        <v>0</v>
      </c>
      <c r="CT71" s="1">
        <f t="shared" si="481"/>
        <v>0</v>
      </c>
      <c r="CU71" s="1">
        <f t="shared" si="481"/>
        <v>0</v>
      </c>
      <c r="CV71" s="1">
        <f t="shared" si="481"/>
        <v>0</v>
      </c>
      <c r="CW71" s="1">
        <f t="shared" si="481"/>
        <v>0</v>
      </c>
      <c r="CX71" s="1">
        <f t="shared" si="481"/>
        <v>0</v>
      </c>
      <c r="CY71" s="1">
        <f t="shared" si="481"/>
        <v>0</v>
      </c>
      <c r="CZ71" s="1">
        <f t="shared" si="481"/>
        <v>0</v>
      </c>
      <c r="DA71" s="1">
        <f t="shared" si="481"/>
        <v>0</v>
      </c>
      <c r="DB71" s="1">
        <f t="shared" si="481"/>
        <v>0</v>
      </c>
      <c r="DC71" s="1">
        <f t="shared" si="481"/>
        <v>0</v>
      </c>
      <c r="DD71" s="1">
        <f t="shared" si="481"/>
        <v>0</v>
      </c>
      <c r="DE71" s="1">
        <f t="shared" si="481"/>
        <v>0</v>
      </c>
      <c r="DF71" s="1">
        <f t="shared" si="481"/>
        <v>0</v>
      </c>
      <c r="DG71" s="1">
        <f t="shared" si="481"/>
        <v>0</v>
      </c>
      <c r="DH71" s="1">
        <f t="shared" si="481"/>
        <v>0</v>
      </c>
      <c r="DI71" s="1">
        <f t="shared" si="481"/>
        <v>0</v>
      </c>
      <c r="DJ71" s="1">
        <f t="shared" si="481"/>
        <v>0</v>
      </c>
      <c r="DK71" s="1">
        <f t="shared" si="481"/>
        <v>0</v>
      </c>
      <c r="DL71" s="1">
        <f t="shared" si="481"/>
        <v>0</v>
      </c>
      <c r="DM71" s="1">
        <f t="shared" si="481"/>
        <v>0</v>
      </c>
      <c r="DN71" s="1">
        <f t="shared" si="481"/>
        <v>0</v>
      </c>
      <c r="DO71" s="1">
        <f t="shared" si="481"/>
        <v>0</v>
      </c>
      <c r="DP71" s="1">
        <f t="shared" si="481"/>
        <v>0</v>
      </c>
      <c r="DQ71" s="1">
        <f t="shared" si="481"/>
        <v>0</v>
      </c>
      <c r="DR71" s="1">
        <f t="shared" si="481"/>
        <v>0</v>
      </c>
      <c r="DS71" s="1">
        <f t="shared" si="481"/>
        <v>0</v>
      </c>
      <c r="DT71" s="1">
        <f t="shared" si="481"/>
        <v>0</v>
      </c>
      <c r="DU71" s="1">
        <f t="shared" si="481"/>
        <v>0</v>
      </c>
      <c r="DV71" s="1">
        <f t="shared" si="481"/>
        <v>0</v>
      </c>
    </row>
    <row r="72" spans="1:126" x14ac:dyDescent="0.25">
      <c r="A72" s="26" t="str">
        <f>+"Terreno "&amp;Tipo_Terreno&amp;" - "&amp;"Paso Cruceta Lar"</f>
        <v>Terreno Plano - Paso Cruceta Lar</v>
      </c>
      <c r="B72" s="36">
        <f t="shared" si="476"/>
        <v>5626782.5633333335</v>
      </c>
      <c r="C72" s="26"/>
      <c r="D72" s="35"/>
      <c r="E72" s="35">
        <f t="shared" si="37"/>
        <v>56</v>
      </c>
      <c r="F72" s="1">
        <f t="shared" ref="F72:F74" si="482">+IF($A72="","",IF($D72=F$15,$B72+IF(MONTH($B$8)-MONTH($B$7)+$E$14=E$14,$C72,0),0))</f>
        <v>5626782.5633333335</v>
      </c>
      <c r="G72" s="1">
        <f t="shared" si="479"/>
        <v>0</v>
      </c>
      <c r="H72" s="1">
        <f t="shared" si="479"/>
        <v>0</v>
      </c>
      <c r="I72" s="1">
        <f t="shared" si="479"/>
        <v>0</v>
      </c>
      <c r="J72" s="1">
        <f t="shared" si="479"/>
        <v>0</v>
      </c>
      <c r="K72" s="1">
        <f t="shared" si="479"/>
        <v>0</v>
      </c>
      <c r="L72" s="1">
        <f t="shared" si="479"/>
        <v>0</v>
      </c>
      <c r="M72" s="1">
        <f t="shared" si="479"/>
        <v>0</v>
      </c>
      <c r="N72" s="1">
        <f t="shared" si="479"/>
        <v>0</v>
      </c>
      <c r="O72" s="1">
        <f t="shared" si="479"/>
        <v>0</v>
      </c>
      <c r="P72" s="1">
        <f t="shared" si="479"/>
        <v>0</v>
      </c>
      <c r="Q72" s="1">
        <f t="shared" si="479"/>
        <v>0</v>
      </c>
      <c r="R72" s="1">
        <f t="shared" si="479"/>
        <v>0</v>
      </c>
      <c r="S72" s="1">
        <f t="shared" si="479"/>
        <v>0</v>
      </c>
      <c r="T72" s="1">
        <f t="shared" si="479"/>
        <v>0</v>
      </c>
      <c r="U72" s="1">
        <f t="shared" si="479"/>
        <v>0</v>
      </c>
      <c r="V72" s="1">
        <f t="shared" si="480"/>
        <v>0</v>
      </c>
      <c r="W72" s="1">
        <f t="shared" si="480"/>
        <v>0</v>
      </c>
      <c r="X72" s="1">
        <f t="shared" si="480"/>
        <v>0</v>
      </c>
      <c r="Y72" s="1">
        <f t="shared" si="480"/>
        <v>0</v>
      </c>
      <c r="Z72" s="1">
        <f t="shared" si="480"/>
        <v>0</v>
      </c>
      <c r="AA72" s="1">
        <f t="shared" si="480"/>
        <v>0</v>
      </c>
      <c r="AB72" s="1">
        <f t="shared" si="480"/>
        <v>0</v>
      </c>
      <c r="AC72" s="1">
        <f t="shared" si="480"/>
        <v>0</v>
      </c>
      <c r="AD72" s="1">
        <f t="shared" si="480"/>
        <v>0</v>
      </c>
      <c r="AE72" s="1">
        <f t="shared" si="480"/>
        <v>0</v>
      </c>
      <c r="AF72" s="1">
        <f t="shared" si="480"/>
        <v>0</v>
      </c>
      <c r="AG72" s="1">
        <f t="shared" si="480"/>
        <v>0</v>
      </c>
      <c r="AH72" s="1">
        <f t="shared" si="480"/>
        <v>0</v>
      </c>
      <c r="AI72" s="1">
        <f t="shared" si="480"/>
        <v>0</v>
      </c>
      <c r="AJ72" s="1">
        <f t="shared" si="480"/>
        <v>0</v>
      </c>
      <c r="AK72" s="1">
        <f t="shared" si="480"/>
        <v>0</v>
      </c>
      <c r="AL72" s="1">
        <f t="shared" si="480"/>
        <v>0</v>
      </c>
      <c r="AM72" s="1">
        <f t="shared" si="480"/>
        <v>0</v>
      </c>
      <c r="AN72" s="1">
        <f t="shared" si="480"/>
        <v>0</v>
      </c>
      <c r="AO72" s="1">
        <f t="shared" si="480"/>
        <v>0</v>
      </c>
      <c r="AP72" s="1">
        <f t="shared" si="480"/>
        <v>0</v>
      </c>
      <c r="AQ72" s="1">
        <f t="shared" si="480"/>
        <v>0</v>
      </c>
      <c r="AR72" s="1">
        <f t="shared" si="480"/>
        <v>0</v>
      </c>
      <c r="AS72" s="1">
        <f t="shared" si="480"/>
        <v>0</v>
      </c>
      <c r="AT72" s="1">
        <f t="shared" si="480"/>
        <v>0</v>
      </c>
      <c r="AU72" s="1">
        <f t="shared" si="480"/>
        <v>0</v>
      </c>
      <c r="AV72" s="1">
        <f t="shared" si="480"/>
        <v>0</v>
      </c>
      <c r="AW72" s="1">
        <f t="shared" si="480"/>
        <v>0</v>
      </c>
      <c r="AX72" s="1">
        <f t="shared" si="480"/>
        <v>0</v>
      </c>
      <c r="AY72" s="1">
        <f t="shared" si="480"/>
        <v>0</v>
      </c>
      <c r="AZ72" s="1">
        <f t="shared" si="480"/>
        <v>0</v>
      </c>
      <c r="BA72" s="1">
        <f t="shared" si="480"/>
        <v>0</v>
      </c>
      <c r="BB72" s="1">
        <f t="shared" si="480"/>
        <v>0</v>
      </c>
      <c r="BC72" s="1">
        <f t="shared" si="480"/>
        <v>0</v>
      </c>
      <c r="BD72" s="1">
        <f t="shared" si="480"/>
        <v>0</v>
      </c>
      <c r="BE72" s="1">
        <f t="shared" si="480"/>
        <v>0</v>
      </c>
      <c r="BF72" s="1">
        <f t="shared" si="480"/>
        <v>0</v>
      </c>
      <c r="BG72" s="1">
        <f t="shared" si="480"/>
        <v>0</v>
      </c>
      <c r="BH72" s="1">
        <f t="shared" si="480"/>
        <v>0</v>
      </c>
      <c r="BI72" s="1">
        <f t="shared" si="480"/>
        <v>0</v>
      </c>
      <c r="BJ72" s="1">
        <f t="shared" si="480"/>
        <v>0</v>
      </c>
      <c r="BK72" s="1">
        <f t="shared" si="480"/>
        <v>0</v>
      </c>
      <c r="BL72" s="1">
        <f t="shared" si="480"/>
        <v>0</v>
      </c>
      <c r="BM72" s="1">
        <f t="shared" si="480"/>
        <v>0</v>
      </c>
      <c r="BN72" s="1">
        <f t="shared" si="480"/>
        <v>0</v>
      </c>
      <c r="BO72" s="1">
        <f t="shared" si="480"/>
        <v>0</v>
      </c>
      <c r="BP72" s="1">
        <f t="shared" si="480"/>
        <v>0</v>
      </c>
      <c r="BQ72" s="1">
        <f t="shared" si="480"/>
        <v>0</v>
      </c>
      <c r="BR72" s="1">
        <f t="shared" si="480"/>
        <v>0</v>
      </c>
      <c r="BS72" s="1">
        <f t="shared" si="481"/>
        <v>0</v>
      </c>
      <c r="BT72" s="1">
        <f t="shared" si="481"/>
        <v>0</v>
      </c>
      <c r="BU72" s="1">
        <f t="shared" si="481"/>
        <v>0</v>
      </c>
      <c r="BV72" s="1">
        <f t="shared" si="481"/>
        <v>0</v>
      </c>
      <c r="BW72" s="1">
        <f t="shared" si="481"/>
        <v>0</v>
      </c>
      <c r="BX72" s="1">
        <f t="shared" si="481"/>
        <v>0</v>
      </c>
      <c r="BY72" s="1">
        <f t="shared" si="481"/>
        <v>0</v>
      </c>
      <c r="BZ72" s="1">
        <f t="shared" si="481"/>
        <v>0</v>
      </c>
      <c r="CA72" s="1">
        <f t="shared" si="481"/>
        <v>0</v>
      </c>
      <c r="CB72" s="1">
        <f t="shared" si="481"/>
        <v>0</v>
      </c>
      <c r="CC72" s="1">
        <f t="shared" si="481"/>
        <v>0</v>
      </c>
      <c r="CD72" s="1">
        <f t="shared" si="481"/>
        <v>0</v>
      </c>
      <c r="CE72" s="1">
        <f t="shared" si="481"/>
        <v>0</v>
      </c>
      <c r="CF72" s="1">
        <f t="shared" si="481"/>
        <v>0</v>
      </c>
      <c r="CG72" s="1">
        <f t="shared" si="481"/>
        <v>0</v>
      </c>
      <c r="CH72" s="1">
        <f t="shared" si="481"/>
        <v>0</v>
      </c>
      <c r="CI72" s="1">
        <f t="shared" si="481"/>
        <v>0</v>
      </c>
      <c r="CJ72" s="1">
        <f t="shared" si="481"/>
        <v>0</v>
      </c>
      <c r="CK72" s="1">
        <f t="shared" si="481"/>
        <v>0</v>
      </c>
      <c r="CL72" s="1">
        <f t="shared" si="481"/>
        <v>0</v>
      </c>
      <c r="CM72" s="1">
        <f t="shared" si="481"/>
        <v>0</v>
      </c>
      <c r="CN72" s="1">
        <f t="shared" si="481"/>
        <v>0</v>
      </c>
      <c r="CO72" s="1">
        <f t="shared" si="481"/>
        <v>0</v>
      </c>
      <c r="CP72" s="1">
        <f t="shared" si="481"/>
        <v>0</v>
      </c>
      <c r="CQ72" s="1">
        <f t="shared" si="481"/>
        <v>0</v>
      </c>
      <c r="CR72" s="1">
        <f t="shared" si="481"/>
        <v>0</v>
      </c>
      <c r="CS72" s="1">
        <f t="shared" si="481"/>
        <v>0</v>
      </c>
      <c r="CT72" s="1">
        <f t="shared" si="481"/>
        <v>0</v>
      </c>
      <c r="CU72" s="1">
        <f t="shared" si="481"/>
        <v>0</v>
      </c>
      <c r="CV72" s="1">
        <f t="shared" si="481"/>
        <v>0</v>
      </c>
      <c r="CW72" s="1">
        <f t="shared" si="481"/>
        <v>0</v>
      </c>
      <c r="CX72" s="1">
        <f t="shared" si="481"/>
        <v>0</v>
      </c>
      <c r="CY72" s="1">
        <f t="shared" si="481"/>
        <v>0</v>
      </c>
      <c r="CZ72" s="1">
        <f t="shared" si="481"/>
        <v>0</v>
      </c>
      <c r="DA72" s="1">
        <f t="shared" si="481"/>
        <v>0</v>
      </c>
      <c r="DB72" s="1">
        <f t="shared" si="481"/>
        <v>0</v>
      </c>
      <c r="DC72" s="1">
        <f t="shared" si="481"/>
        <v>0</v>
      </c>
      <c r="DD72" s="1">
        <f t="shared" si="481"/>
        <v>0</v>
      </c>
      <c r="DE72" s="1">
        <f t="shared" si="481"/>
        <v>0</v>
      </c>
      <c r="DF72" s="1">
        <f t="shared" si="481"/>
        <v>0</v>
      </c>
      <c r="DG72" s="1">
        <f t="shared" si="481"/>
        <v>0</v>
      </c>
      <c r="DH72" s="1">
        <f t="shared" si="481"/>
        <v>0</v>
      </c>
      <c r="DI72" s="1">
        <f t="shared" si="481"/>
        <v>0</v>
      </c>
      <c r="DJ72" s="1">
        <f t="shared" si="481"/>
        <v>0</v>
      </c>
      <c r="DK72" s="1">
        <f t="shared" si="481"/>
        <v>0</v>
      </c>
      <c r="DL72" s="1">
        <f t="shared" si="481"/>
        <v>0</v>
      </c>
      <c r="DM72" s="1">
        <f t="shared" si="481"/>
        <v>0</v>
      </c>
      <c r="DN72" s="1">
        <f t="shared" si="481"/>
        <v>0</v>
      </c>
      <c r="DO72" s="1">
        <f t="shared" si="481"/>
        <v>0</v>
      </c>
      <c r="DP72" s="1">
        <f t="shared" si="481"/>
        <v>0</v>
      </c>
      <c r="DQ72" s="1">
        <f t="shared" si="481"/>
        <v>0</v>
      </c>
      <c r="DR72" s="1">
        <f t="shared" si="481"/>
        <v>0</v>
      </c>
      <c r="DS72" s="1">
        <f t="shared" si="481"/>
        <v>0</v>
      </c>
      <c r="DT72" s="1">
        <f t="shared" si="481"/>
        <v>0</v>
      </c>
      <c r="DU72" s="1">
        <f t="shared" si="481"/>
        <v>0</v>
      </c>
      <c r="DV72" s="1">
        <f t="shared" si="481"/>
        <v>0</v>
      </c>
    </row>
    <row r="73" spans="1:126" x14ac:dyDescent="0.25">
      <c r="A73" s="26" t="str">
        <f>+"Terreno "&amp;Tipo_Terreno&amp;" - "&amp;"Servidumbres"</f>
        <v>Terreno Plano - Servidumbres</v>
      </c>
      <c r="B73" s="36">
        <f t="shared" si="476"/>
        <v>494190</v>
      </c>
      <c r="C73" s="26"/>
      <c r="D73" s="35"/>
      <c r="E73" s="35">
        <f t="shared" si="37"/>
        <v>56</v>
      </c>
      <c r="F73" s="1">
        <f t="shared" si="482"/>
        <v>494190</v>
      </c>
      <c r="G73" s="1">
        <f t="shared" si="479"/>
        <v>0</v>
      </c>
      <c r="H73" s="1">
        <f t="shared" si="479"/>
        <v>0</v>
      </c>
      <c r="I73" s="1">
        <f t="shared" si="479"/>
        <v>0</v>
      </c>
      <c r="J73" s="1">
        <f t="shared" si="479"/>
        <v>0</v>
      </c>
      <c r="K73" s="1">
        <f t="shared" si="479"/>
        <v>0</v>
      </c>
      <c r="L73" s="1">
        <f t="shared" si="479"/>
        <v>0</v>
      </c>
      <c r="M73" s="1">
        <f t="shared" si="479"/>
        <v>0</v>
      </c>
      <c r="N73" s="1">
        <f t="shared" si="479"/>
        <v>0</v>
      </c>
      <c r="O73" s="1">
        <f t="shared" si="479"/>
        <v>0</v>
      </c>
      <c r="P73" s="1">
        <f t="shared" si="479"/>
        <v>0</v>
      </c>
      <c r="Q73" s="1">
        <f t="shared" si="479"/>
        <v>0</v>
      </c>
      <c r="R73" s="1">
        <f t="shared" si="479"/>
        <v>0</v>
      </c>
      <c r="S73" s="1">
        <f t="shared" si="479"/>
        <v>0</v>
      </c>
      <c r="T73" s="1">
        <f t="shared" si="479"/>
        <v>0</v>
      </c>
      <c r="U73" s="1">
        <f t="shared" si="479"/>
        <v>0</v>
      </c>
      <c r="V73" s="1">
        <f t="shared" si="480"/>
        <v>0</v>
      </c>
      <c r="W73" s="1">
        <f t="shared" si="480"/>
        <v>0</v>
      </c>
      <c r="X73" s="1">
        <f t="shared" si="480"/>
        <v>0</v>
      </c>
      <c r="Y73" s="1">
        <f t="shared" si="480"/>
        <v>0</v>
      </c>
      <c r="Z73" s="1">
        <f t="shared" si="480"/>
        <v>0</v>
      </c>
      <c r="AA73" s="1">
        <f t="shared" si="480"/>
        <v>0</v>
      </c>
      <c r="AB73" s="1">
        <f t="shared" si="480"/>
        <v>0</v>
      </c>
      <c r="AC73" s="1">
        <f t="shared" si="480"/>
        <v>0</v>
      </c>
      <c r="AD73" s="1">
        <f t="shared" si="480"/>
        <v>0</v>
      </c>
      <c r="AE73" s="1">
        <f t="shared" si="480"/>
        <v>0</v>
      </c>
      <c r="AF73" s="1">
        <f t="shared" si="480"/>
        <v>0</v>
      </c>
      <c r="AG73" s="1">
        <f t="shared" si="480"/>
        <v>0</v>
      </c>
      <c r="AH73" s="1">
        <f t="shared" si="480"/>
        <v>0</v>
      </c>
      <c r="AI73" s="1">
        <f t="shared" si="480"/>
        <v>0</v>
      </c>
      <c r="AJ73" s="1">
        <f t="shared" si="480"/>
        <v>0</v>
      </c>
      <c r="AK73" s="1">
        <f t="shared" si="480"/>
        <v>0</v>
      </c>
      <c r="AL73" s="1">
        <f t="shared" si="480"/>
        <v>0</v>
      </c>
      <c r="AM73" s="1">
        <f t="shared" si="480"/>
        <v>0</v>
      </c>
      <c r="AN73" s="1">
        <f t="shared" si="480"/>
        <v>0</v>
      </c>
      <c r="AO73" s="1">
        <f t="shared" si="480"/>
        <v>0</v>
      </c>
      <c r="AP73" s="1">
        <f t="shared" si="480"/>
        <v>0</v>
      </c>
      <c r="AQ73" s="1">
        <f t="shared" si="480"/>
        <v>0</v>
      </c>
      <c r="AR73" s="1">
        <f t="shared" si="480"/>
        <v>0</v>
      </c>
      <c r="AS73" s="1">
        <f t="shared" si="480"/>
        <v>0</v>
      </c>
      <c r="AT73" s="1">
        <f t="shared" si="480"/>
        <v>0</v>
      </c>
      <c r="AU73" s="1">
        <f t="shared" si="480"/>
        <v>0</v>
      </c>
      <c r="AV73" s="1">
        <f t="shared" si="480"/>
        <v>0</v>
      </c>
      <c r="AW73" s="1">
        <f t="shared" si="480"/>
        <v>0</v>
      </c>
      <c r="AX73" s="1">
        <f t="shared" si="480"/>
        <v>0</v>
      </c>
      <c r="AY73" s="1">
        <f t="shared" si="480"/>
        <v>0</v>
      </c>
      <c r="AZ73" s="1">
        <f t="shared" si="480"/>
        <v>0</v>
      </c>
      <c r="BA73" s="1">
        <f t="shared" si="480"/>
        <v>0</v>
      </c>
      <c r="BB73" s="1">
        <f t="shared" si="480"/>
        <v>0</v>
      </c>
      <c r="BC73" s="1">
        <f t="shared" si="480"/>
        <v>0</v>
      </c>
      <c r="BD73" s="1">
        <f t="shared" si="480"/>
        <v>0</v>
      </c>
      <c r="BE73" s="1">
        <f t="shared" si="480"/>
        <v>0</v>
      </c>
      <c r="BF73" s="1">
        <f t="shared" si="480"/>
        <v>0</v>
      </c>
      <c r="BG73" s="1">
        <f t="shared" si="480"/>
        <v>0</v>
      </c>
      <c r="BH73" s="1">
        <f t="shared" si="480"/>
        <v>0</v>
      </c>
      <c r="BI73" s="1">
        <f t="shared" si="480"/>
        <v>0</v>
      </c>
      <c r="BJ73" s="1">
        <f t="shared" si="480"/>
        <v>0</v>
      </c>
      <c r="BK73" s="1">
        <f t="shared" si="480"/>
        <v>0</v>
      </c>
      <c r="BL73" s="1">
        <f t="shared" si="480"/>
        <v>0</v>
      </c>
      <c r="BM73" s="1">
        <f t="shared" si="480"/>
        <v>0</v>
      </c>
      <c r="BN73" s="1">
        <f t="shared" si="480"/>
        <v>0</v>
      </c>
      <c r="BO73" s="1">
        <f t="shared" si="480"/>
        <v>0</v>
      </c>
      <c r="BP73" s="1">
        <f t="shared" si="480"/>
        <v>0</v>
      </c>
      <c r="BQ73" s="1">
        <f t="shared" si="480"/>
        <v>0</v>
      </c>
      <c r="BR73" s="1">
        <f t="shared" si="480"/>
        <v>0</v>
      </c>
      <c r="BS73" s="1">
        <f t="shared" si="481"/>
        <v>0</v>
      </c>
      <c r="BT73" s="1">
        <f t="shared" si="481"/>
        <v>0</v>
      </c>
      <c r="BU73" s="1">
        <f t="shared" si="481"/>
        <v>0</v>
      </c>
      <c r="BV73" s="1">
        <f t="shared" si="481"/>
        <v>0</v>
      </c>
      <c r="BW73" s="1">
        <f t="shared" si="481"/>
        <v>0</v>
      </c>
      <c r="BX73" s="1">
        <f t="shared" si="481"/>
        <v>0</v>
      </c>
      <c r="BY73" s="1">
        <f t="shared" si="481"/>
        <v>0</v>
      </c>
      <c r="BZ73" s="1">
        <f t="shared" si="481"/>
        <v>0</v>
      </c>
      <c r="CA73" s="1">
        <f t="shared" si="481"/>
        <v>0</v>
      </c>
      <c r="CB73" s="1">
        <f t="shared" si="481"/>
        <v>0</v>
      </c>
      <c r="CC73" s="1">
        <f t="shared" si="481"/>
        <v>0</v>
      </c>
      <c r="CD73" s="1">
        <f t="shared" si="481"/>
        <v>0</v>
      </c>
      <c r="CE73" s="1">
        <f t="shared" si="481"/>
        <v>0</v>
      </c>
      <c r="CF73" s="1">
        <f t="shared" si="481"/>
        <v>0</v>
      </c>
      <c r="CG73" s="1">
        <f t="shared" si="481"/>
        <v>0</v>
      </c>
      <c r="CH73" s="1">
        <f t="shared" si="481"/>
        <v>0</v>
      </c>
      <c r="CI73" s="1">
        <f t="shared" si="481"/>
        <v>0</v>
      </c>
      <c r="CJ73" s="1">
        <f t="shared" si="481"/>
        <v>0</v>
      </c>
      <c r="CK73" s="1">
        <f t="shared" si="481"/>
        <v>0</v>
      </c>
      <c r="CL73" s="1">
        <f t="shared" si="481"/>
        <v>0</v>
      </c>
      <c r="CM73" s="1">
        <f t="shared" si="481"/>
        <v>0</v>
      </c>
      <c r="CN73" s="1">
        <f t="shared" si="481"/>
        <v>0</v>
      </c>
      <c r="CO73" s="1">
        <f t="shared" si="481"/>
        <v>0</v>
      </c>
      <c r="CP73" s="1">
        <f t="shared" si="481"/>
        <v>0</v>
      </c>
      <c r="CQ73" s="1">
        <f t="shared" si="481"/>
        <v>0</v>
      </c>
      <c r="CR73" s="1">
        <f t="shared" si="481"/>
        <v>0</v>
      </c>
      <c r="CS73" s="1">
        <f t="shared" si="481"/>
        <v>0</v>
      </c>
      <c r="CT73" s="1">
        <f t="shared" si="481"/>
        <v>0</v>
      </c>
      <c r="CU73" s="1">
        <f t="shared" si="481"/>
        <v>0</v>
      </c>
      <c r="CV73" s="1">
        <f t="shared" si="481"/>
        <v>0</v>
      </c>
      <c r="CW73" s="1">
        <f t="shared" si="481"/>
        <v>0</v>
      </c>
      <c r="CX73" s="1">
        <f t="shared" si="481"/>
        <v>0</v>
      </c>
      <c r="CY73" s="1">
        <f t="shared" si="481"/>
        <v>0</v>
      </c>
      <c r="CZ73" s="1">
        <f t="shared" si="481"/>
        <v>0</v>
      </c>
      <c r="DA73" s="1">
        <f t="shared" si="481"/>
        <v>0</v>
      </c>
      <c r="DB73" s="1">
        <f t="shared" si="481"/>
        <v>0</v>
      </c>
      <c r="DC73" s="1">
        <f t="shared" si="481"/>
        <v>0</v>
      </c>
      <c r="DD73" s="1">
        <f t="shared" si="481"/>
        <v>0</v>
      </c>
      <c r="DE73" s="1">
        <f t="shared" si="481"/>
        <v>0</v>
      </c>
      <c r="DF73" s="1">
        <f t="shared" si="481"/>
        <v>0</v>
      </c>
      <c r="DG73" s="1">
        <f t="shared" si="481"/>
        <v>0</v>
      </c>
      <c r="DH73" s="1">
        <f t="shared" si="481"/>
        <v>0</v>
      </c>
      <c r="DI73" s="1">
        <f t="shared" si="481"/>
        <v>0</v>
      </c>
      <c r="DJ73" s="1">
        <f t="shared" si="481"/>
        <v>0</v>
      </c>
      <c r="DK73" s="1">
        <f t="shared" si="481"/>
        <v>0</v>
      </c>
      <c r="DL73" s="1">
        <f t="shared" si="481"/>
        <v>0</v>
      </c>
      <c r="DM73" s="1">
        <f t="shared" si="481"/>
        <v>0</v>
      </c>
      <c r="DN73" s="1">
        <f t="shared" si="481"/>
        <v>0</v>
      </c>
      <c r="DO73" s="1">
        <f t="shared" si="481"/>
        <v>0</v>
      </c>
      <c r="DP73" s="1">
        <f t="shared" si="481"/>
        <v>0</v>
      </c>
      <c r="DQ73" s="1">
        <f t="shared" si="481"/>
        <v>0</v>
      </c>
      <c r="DR73" s="1">
        <f t="shared" si="481"/>
        <v>0</v>
      </c>
      <c r="DS73" s="1">
        <f t="shared" si="481"/>
        <v>0</v>
      </c>
      <c r="DT73" s="1">
        <f t="shared" si="481"/>
        <v>0</v>
      </c>
      <c r="DU73" s="1">
        <f t="shared" si="481"/>
        <v>0</v>
      </c>
      <c r="DV73" s="1">
        <f t="shared" si="481"/>
        <v>0</v>
      </c>
    </row>
    <row r="74" spans="1:126" x14ac:dyDescent="0.25">
      <c r="A74" s="26" t="str">
        <f>+"Terreno "&amp;Tipo_Terreno&amp;" - "&amp;"Soportes (Postes)"</f>
        <v>Terreno Plano - Soportes (Postes)</v>
      </c>
      <c r="B74" s="36">
        <f t="shared" si="476"/>
        <v>7360575.8313333327</v>
      </c>
      <c r="C74" s="26"/>
      <c r="D74" s="35"/>
      <c r="E74" s="35">
        <f t="shared" si="37"/>
        <v>56</v>
      </c>
      <c r="F74" s="1">
        <f t="shared" si="482"/>
        <v>7360575.8313333327</v>
      </c>
      <c r="G74" s="1">
        <f t="shared" si="479"/>
        <v>0</v>
      </c>
      <c r="H74" s="1">
        <f t="shared" si="479"/>
        <v>0</v>
      </c>
      <c r="I74" s="1">
        <f t="shared" si="479"/>
        <v>0</v>
      </c>
      <c r="J74" s="1">
        <f t="shared" si="479"/>
        <v>0</v>
      </c>
      <c r="K74" s="1">
        <f t="shared" si="479"/>
        <v>0</v>
      </c>
      <c r="L74" s="1">
        <f t="shared" si="479"/>
        <v>0</v>
      </c>
      <c r="M74" s="1">
        <f t="shared" si="479"/>
        <v>0</v>
      </c>
      <c r="N74" s="1">
        <f t="shared" si="479"/>
        <v>0</v>
      </c>
      <c r="O74" s="1">
        <f t="shared" si="479"/>
        <v>0</v>
      </c>
      <c r="P74" s="1">
        <f t="shared" si="479"/>
        <v>0</v>
      </c>
      <c r="Q74" s="1">
        <f t="shared" si="479"/>
        <v>0</v>
      </c>
      <c r="R74" s="1">
        <f t="shared" si="479"/>
        <v>0</v>
      </c>
      <c r="S74" s="1">
        <f t="shared" si="479"/>
        <v>0</v>
      </c>
      <c r="T74" s="1">
        <f t="shared" si="479"/>
        <v>0</v>
      </c>
      <c r="U74" s="1">
        <f t="shared" si="479"/>
        <v>0</v>
      </c>
      <c r="V74" s="1">
        <f t="shared" si="480"/>
        <v>0</v>
      </c>
      <c r="W74" s="1">
        <f t="shared" si="480"/>
        <v>0</v>
      </c>
      <c r="X74" s="1">
        <f t="shared" si="480"/>
        <v>0</v>
      </c>
      <c r="Y74" s="1">
        <f t="shared" si="480"/>
        <v>0</v>
      </c>
      <c r="Z74" s="1">
        <f t="shared" si="480"/>
        <v>0</v>
      </c>
      <c r="AA74" s="1">
        <f t="shared" si="480"/>
        <v>0</v>
      </c>
      <c r="AB74" s="1">
        <f t="shared" si="480"/>
        <v>0</v>
      </c>
      <c r="AC74" s="1">
        <f t="shared" si="480"/>
        <v>0</v>
      </c>
      <c r="AD74" s="1">
        <f t="shared" si="480"/>
        <v>0</v>
      </c>
      <c r="AE74" s="1">
        <f t="shared" si="480"/>
        <v>0</v>
      </c>
      <c r="AF74" s="1">
        <f t="shared" si="480"/>
        <v>0</v>
      </c>
      <c r="AG74" s="1">
        <f t="shared" si="480"/>
        <v>0</v>
      </c>
      <c r="AH74" s="1">
        <f t="shared" si="480"/>
        <v>0</v>
      </c>
      <c r="AI74" s="1">
        <f t="shared" si="480"/>
        <v>0</v>
      </c>
      <c r="AJ74" s="1">
        <f t="shared" si="480"/>
        <v>0</v>
      </c>
      <c r="AK74" s="1">
        <f t="shared" si="480"/>
        <v>0</v>
      </c>
      <c r="AL74" s="1">
        <f t="shared" si="480"/>
        <v>0</v>
      </c>
      <c r="AM74" s="1">
        <f t="shared" si="480"/>
        <v>0</v>
      </c>
      <c r="AN74" s="1">
        <f t="shared" si="480"/>
        <v>0</v>
      </c>
      <c r="AO74" s="1">
        <f t="shared" si="480"/>
        <v>0</v>
      </c>
      <c r="AP74" s="1">
        <f t="shared" si="480"/>
        <v>0</v>
      </c>
      <c r="AQ74" s="1">
        <f t="shared" si="480"/>
        <v>0</v>
      </c>
      <c r="AR74" s="1">
        <f t="shared" si="480"/>
        <v>0</v>
      </c>
      <c r="AS74" s="1">
        <f t="shared" si="480"/>
        <v>0</v>
      </c>
      <c r="AT74" s="1">
        <f t="shared" si="480"/>
        <v>0</v>
      </c>
      <c r="AU74" s="1">
        <f t="shared" si="480"/>
        <v>0</v>
      </c>
      <c r="AV74" s="1">
        <f t="shared" si="480"/>
        <v>0</v>
      </c>
      <c r="AW74" s="1">
        <f t="shared" si="480"/>
        <v>0</v>
      </c>
      <c r="AX74" s="1">
        <f t="shared" si="480"/>
        <v>0</v>
      </c>
      <c r="AY74" s="1">
        <f t="shared" si="480"/>
        <v>0</v>
      </c>
      <c r="AZ74" s="1">
        <f t="shared" si="480"/>
        <v>0</v>
      </c>
      <c r="BA74" s="1">
        <f t="shared" si="480"/>
        <v>0</v>
      </c>
      <c r="BB74" s="1">
        <f t="shared" si="480"/>
        <v>0</v>
      </c>
      <c r="BC74" s="1">
        <f t="shared" si="480"/>
        <v>0</v>
      </c>
      <c r="BD74" s="1">
        <f t="shared" si="480"/>
        <v>0</v>
      </c>
      <c r="BE74" s="1">
        <f t="shared" si="480"/>
        <v>0</v>
      </c>
      <c r="BF74" s="1">
        <f t="shared" si="480"/>
        <v>0</v>
      </c>
      <c r="BG74" s="1">
        <f t="shared" si="480"/>
        <v>0</v>
      </c>
      <c r="BH74" s="1">
        <f t="shared" si="480"/>
        <v>0</v>
      </c>
      <c r="BI74" s="1">
        <f t="shared" si="480"/>
        <v>0</v>
      </c>
      <c r="BJ74" s="1">
        <f t="shared" si="480"/>
        <v>0</v>
      </c>
      <c r="BK74" s="1">
        <f t="shared" si="480"/>
        <v>0</v>
      </c>
      <c r="BL74" s="1">
        <f t="shared" si="480"/>
        <v>0</v>
      </c>
      <c r="BM74" s="1">
        <f t="shared" si="480"/>
        <v>0</v>
      </c>
      <c r="BN74" s="1">
        <f t="shared" si="480"/>
        <v>0</v>
      </c>
      <c r="BO74" s="1">
        <f t="shared" si="480"/>
        <v>0</v>
      </c>
      <c r="BP74" s="1">
        <f t="shared" ref="BP74:BR74" si="483">+IF($A74="","",IF($D74=BP$15,$B74+IF(MONTH($B$8)-MONTH($B$7)+$E$14=BO$14,$C74,0),0))</f>
        <v>0</v>
      </c>
      <c r="BQ74" s="1">
        <f t="shared" si="483"/>
        <v>0</v>
      </c>
      <c r="BR74" s="1">
        <f t="shared" si="483"/>
        <v>0</v>
      </c>
      <c r="BS74" s="1">
        <f t="shared" si="481"/>
        <v>0</v>
      </c>
      <c r="BT74" s="1">
        <f t="shared" si="481"/>
        <v>0</v>
      </c>
      <c r="BU74" s="1">
        <f t="shared" si="481"/>
        <v>0</v>
      </c>
      <c r="BV74" s="1">
        <f t="shared" si="481"/>
        <v>0</v>
      </c>
      <c r="BW74" s="1">
        <f t="shared" si="481"/>
        <v>0</v>
      </c>
      <c r="BX74" s="1">
        <f t="shared" si="481"/>
        <v>0</v>
      </c>
      <c r="BY74" s="1">
        <f t="shared" si="481"/>
        <v>0</v>
      </c>
      <c r="BZ74" s="1">
        <f t="shared" si="481"/>
        <v>0</v>
      </c>
      <c r="CA74" s="1">
        <f t="shared" si="481"/>
        <v>0</v>
      </c>
      <c r="CB74" s="1">
        <f t="shared" si="481"/>
        <v>0</v>
      </c>
      <c r="CC74" s="1">
        <f t="shared" si="481"/>
        <v>0</v>
      </c>
      <c r="CD74" s="1">
        <f t="shared" si="481"/>
        <v>0</v>
      </c>
      <c r="CE74" s="1">
        <f t="shared" si="481"/>
        <v>0</v>
      </c>
      <c r="CF74" s="1">
        <f t="shared" si="481"/>
        <v>0</v>
      </c>
      <c r="CG74" s="1">
        <f t="shared" si="481"/>
        <v>0</v>
      </c>
      <c r="CH74" s="1">
        <f t="shared" si="481"/>
        <v>0</v>
      </c>
      <c r="CI74" s="1">
        <f t="shared" si="481"/>
        <v>0</v>
      </c>
      <c r="CJ74" s="1">
        <f t="shared" si="481"/>
        <v>0</v>
      </c>
      <c r="CK74" s="1">
        <f t="shared" si="481"/>
        <v>0</v>
      </c>
      <c r="CL74" s="1">
        <f t="shared" si="481"/>
        <v>0</v>
      </c>
      <c r="CM74" s="1">
        <f t="shared" si="481"/>
        <v>0</v>
      </c>
      <c r="CN74" s="1">
        <f t="shared" si="481"/>
        <v>0</v>
      </c>
      <c r="CO74" s="1">
        <f t="shared" si="481"/>
        <v>0</v>
      </c>
      <c r="CP74" s="1">
        <f t="shared" si="481"/>
        <v>0</v>
      </c>
      <c r="CQ74" s="1">
        <f t="shared" si="481"/>
        <v>0</v>
      </c>
      <c r="CR74" s="1">
        <f t="shared" si="481"/>
        <v>0</v>
      </c>
      <c r="CS74" s="1">
        <f t="shared" si="481"/>
        <v>0</v>
      </c>
      <c r="CT74" s="1">
        <f t="shared" si="481"/>
        <v>0</v>
      </c>
      <c r="CU74" s="1">
        <f t="shared" si="481"/>
        <v>0</v>
      </c>
      <c r="CV74" s="1">
        <f t="shared" si="481"/>
        <v>0</v>
      </c>
      <c r="CW74" s="1">
        <f t="shared" si="481"/>
        <v>0</v>
      </c>
      <c r="CX74" s="1">
        <f t="shared" si="481"/>
        <v>0</v>
      </c>
      <c r="CY74" s="1">
        <f t="shared" si="481"/>
        <v>0</v>
      </c>
      <c r="CZ74" s="1">
        <f t="shared" si="481"/>
        <v>0</v>
      </c>
      <c r="DA74" s="1">
        <f t="shared" si="481"/>
        <v>0</v>
      </c>
      <c r="DB74" s="1">
        <f t="shared" si="481"/>
        <v>0</v>
      </c>
      <c r="DC74" s="1">
        <f t="shared" si="481"/>
        <v>0</v>
      </c>
      <c r="DD74" s="1">
        <f t="shared" si="481"/>
        <v>0</v>
      </c>
      <c r="DE74" s="1">
        <f t="shared" si="481"/>
        <v>0</v>
      </c>
      <c r="DF74" s="1">
        <f t="shared" si="481"/>
        <v>0</v>
      </c>
      <c r="DG74" s="1">
        <f t="shared" si="481"/>
        <v>0</v>
      </c>
      <c r="DH74" s="1">
        <f t="shared" si="481"/>
        <v>0</v>
      </c>
      <c r="DI74" s="1">
        <f t="shared" si="481"/>
        <v>0</v>
      </c>
      <c r="DJ74" s="1">
        <f t="shared" si="481"/>
        <v>0</v>
      </c>
      <c r="DK74" s="1">
        <f t="shared" si="481"/>
        <v>0</v>
      </c>
      <c r="DL74" s="1">
        <f t="shared" si="481"/>
        <v>0</v>
      </c>
      <c r="DM74" s="1">
        <f t="shared" si="481"/>
        <v>0</v>
      </c>
      <c r="DN74" s="1">
        <f t="shared" si="481"/>
        <v>0</v>
      </c>
      <c r="DO74" s="1">
        <f t="shared" si="481"/>
        <v>0</v>
      </c>
      <c r="DP74" s="1">
        <f t="shared" si="481"/>
        <v>0</v>
      </c>
      <c r="DQ74" s="1">
        <f t="shared" si="481"/>
        <v>0</v>
      </c>
      <c r="DR74" s="1">
        <f t="shared" si="481"/>
        <v>0</v>
      </c>
      <c r="DS74" s="1">
        <f t="shared" si="481"/>
        <v>0</v>
      </c>
      <c r="DT74" s="1">
        <f t="shared" si="481"/>
        <v>0</v>
      </c>
      <c r="DU74" s="1">
        <f t="shared" si="481"/>
        <v>0</v>
      </c>
      <c r="DV74" s="1">
        <f t="shared" si="481"/>
        <v>0</v>
      </c>
    </row>
    <row r="75" spans="1:126" x14ac:dyDescent="0.25">
      <c r="A75" s="26" t="s">
        <v>24</v>
      </c>
      <c r="B75" s="27"/>
      <c r="C75" s="36">
        <f>+IF(Tipologia_Campo="FTTH",0,SUMIFS(ValoresMercado,Conceptos,A75,Relacion,DistanciaRedEnergia,Tipo,TipoEspecifico,KW_Energia,KW_EnergiaValor))</f>
        <v>2160000</v>
      </c>
      <c r="D75" s="35"/>
      <c r="E75" s="35">
        <f t="shared" si="37"/>
        <v>56</v>
      </c>
      <c r="F75" s="1">
        <f t="shared" si="328"/>
        <v>0</v>
      </c>
      <c r="G75" s="1">
        <f t="shared" ref="G75:AL75" si="484">+(IF($A75="","",IF($D75&gt;MONTH(G$16)-MONTH(InicioFuncion)+12*(YEAR(G$16)-YEAR(InicioFuncion))+1,0,IF($E75&lt;=(MONTH(G$16)-MONTH(InicioFuncion)+12*(YEAR(G$16)-YEAR(InicioFuncion)))-$D75+IF($D75&lt;&gt;"",1,0),0,IF(G$15&gt;$B$9,0,IF((YEAR($B$8)-YEAR($B$7))*12+(MONTH($B$8)-MONTH($B$7))+$E$14&lt;=F$14,$C75))))*HLOOKUP(YEAR(G$16),$E$3:$O$5,3,0)))</f>
        <v>0</v>
      </c>
      <c r="H75" s="1">
        <f t="shared" si="484"/>
        <v>2160000</v>
      </c>
      <c r="I75" s="1">
        <f t="shared" si="484"/>
        <v>2160000</v>
      </c>
      <c r="J75" s="1">
        <f t="shared" si="484"/>
        <v>2160000</v>
      </c>
      <c r="K75" s="1">
        <f t="shared" si="484"/>
        <v>2160000</v>
      </c>
      <c r="L75" s="1">
        <f t="shared" si="484"/>
        <v>2160000</v>
      </c>
      <c r="M75" s="1">
        <f t="shared" si="484"/>
        <v>2160000</v>
      </c>
      <c r="N75" s="1">
        <f t="shared" si="484"/>
        <v>2224800</v>
      </c>
      <c r="O75" s="1">
        <f t="shared" si="484"/>
        <v>2224800</v>
      </c>
      <c r="P75" s="1">
        <f t="shared" si="484"/>
        <v>2224800</v>
      </c>
      <c r="Q75" s="1">
        <f t="shared" si="484"/>
        <v>2224800</v>
      </c>
      <c r="R75" s="1">
        <f t="shared" si="484"/>
        <v>2224800</v>
      </c>
      <c r="S75" s="1">
        <f t="shared" si="484"/>
        <v>2224800</v>
      </c>
      <c r="T75" s="1">
        <f t="shared" si="484"/>
        <v>2224800</v>
      </c>
      <c r="U75" s="1">
        <f t="shared" si="484"/>
        <v>2224800</v>
      </c>
      <c r="V75" s="1">
        <f t="shared" si="484"/>
        <v>2224800</v>
      </c>
      <c r="W75" s="1">
        <f t="shared" si="484"/>
        <v>2224800</v>
      </c>
      <c r="X75" s="1">
        <f t="shared" si="484"/>
        <v>2224800</v>
      </c>
      <c r="Y75" s="1">
        <f t="shared" si="484"/>
        <v>2224800</v>
      </c>
      <c r="Z75" s="1">
        <f t="shared" si="484"/>
        <v>2291544</v>
      </c>
      <c r="AA75" s="1">
        <f t="shared" si="484"/>
        <v>2291544</v>
      </c>
      <c r="AB75" s="1">
        <f t="shared" si="484"/>
        <v>2291544</v>
      </c>
      <c r="AC75" s="1">
        <f t="shared" si="484"/>
        <v>2291544</v>
      </c>
      <c r="AD75" s="1">
        <f t="shared" si="484"/>
        <v>2291544</v>
      </c>
      <c r="AE75" s="1">
        <f t="shared" si="484"/>
        <v>2291544</v>
      </c>
      <c r="AF75" s="1">
        <f t="shared" si="484"/>
        <v>2291544</v>
      </c>
      <c r="AG75" s="1">
        <f t="shared" si="484"/>
        <v>2291544</v>
      </c>
      <c r="AH75" s="1">
        <f t="shared" si="484"/>
        <v>2291544</v>
      </c>
      <c r="AI75" s="1">
        <f t="shared" si="484"/>
        <v>2291544</v>
      </c>
      <c r="AJ75" s="1">
        <f t="shared" si="484"/>
        <v>2291544</v>
      </c>
      <c r="AK75" s="1">
        <f t="shared" si="484"/>
        <v>2291544</v>
      </c>
      <c r="AL75" s="1">
        <f t="shared" si="484"/>
        <v>2360290.3199999998</v>
      </c>
      <c r="AM75" s="1">
        <f t="shared" ref="AM75:BR75" si="485">+(IF($A75="","",IF($D75&gt;MONTH(AM$16)-MONTH(InicioFuncion)+12*(YEAR(AM$16)-YEAR(InicioFuncion))+1,0,IF($E75&lt;=(MONTH(AM$16)-MONTH(InicioFuncion)+12*(YEAR(AM$16)-YEAR(InicioFuncion)))-$D75+IF($D75&lt;&gt;"",1,0),0,IF(AM$15&gt;$B$9,0,IF((YEAR($B$8)-YEAR($B$7))*12+(MONTH($B$8)-MONTH($B$7))+$E$14&lt;=AL$14,$C75))))*HLOOKUP(YEAR(AM$16),$E$3:$O$5,3,0)))</f>
        <v>2360290.3199999998</v>
      </c>
      <c r="AN75" s="1">
        <f t="shared" si="485"/>
        <v>2360290.3199999998</v>
      </c>
      <c r="AO75" s="1">
        <f t="shared" si="485"/>
        <v>2360290.3199999998</v>
      </c>
      <c r="AP75" s="1">
        <f t="shared" si="485"/>
        <v>2360290.3199999998</v>
      </c>
      <c r="AQ75" s="1">
        <f t="shared" si="485"/>
        <v>2360290.3199999998</v>
      </c>
      <c r="AR75" s="1">
        <f t="shared" si="485"/>
        <v>2360290.3199999998</v>
      </c>
      <c r="AS75" s="1">
        <f t="shared" si="485"/>
        <v>2360290.3199999998</v>
      </c>
      <c r="AT75" s="1">
        <f t="shared" si="485"/>
        <v>2360290.3199999998</v>
      </c>
      <c r="AU75" s="1">
        <f t="shared" si="485"/>
        <v>2360290.3199999998</v>
      </c>
      <c r="AV75" s="1">
        <f t="shared" si="485"/>
        <v>2360290.3199999998</v>
      </c>
      <c r="AW75" s="1">
        <f t="shared" si="485"/>
        <v>2360290.3199999998</v>
      </c>
      <c r="AX75" s="1">
        <f t="shared" si="485"/>
        <v>2431099.0296000005</v>
      </c>
      <c r="AY75" s="1">
        <f t="shared" si="485"/>
        <v>2431099.0296000005</v>
      </c>
      <c r="AZ75" s="1">
        <f t="shared" si="485"/>
        <v>2431099.0296000005</v>
      </c>
      <c r="BA75" s="1">
        <f t="shared" si="485"/>
        <v>2431099.0296000005</v>
      </c>
      <c r="BB75" s="1">
        <f t="shared" si="485"/>
        <v>2431099.0296000005</v>
      </c>
      <c r="BC75" s="1">
        <f t="shared" si="485"/>
        <v>2431099.0296000005</v>
      </c>
      <c r="BD75" s="1">
        <f t="shared" si="485"/>
        <v>2431099.0296000005</v>
      </c>
      <c r="BE75" s="1">
        <f t="shared" si="485"/>
        <v>2431099.0296000005</v>
      </c>
      <c r="BF75" s="1">
        <f t="shared" si="485"/>
        <v>2431099.0296000005</v>
      </c>
      <c r="BG75" s="1">
        <f t="shared" si="485"/>
        <v>2431099.0296000005</v>
      </c>
      <c r="BH75" s="1">
        <f t="shared" si="485"/>
        <v>2431099.0296000005</v>
      </c>
      <c r="BI75" s="1">
        <f t="shared" si="485"/>
        <v>2431099.0296000005</v>
      </c>
      <c r="BJ75" s="1">
        <f t="shared" si="485"/>
        <v>2504032.000488</v>
      </c>
      <c r="BK75" s="1">
        <f t="shared" si="485"/>
        <v>0</v>
      </c>
      <c r="BL75" s="1">
        <f t="shared" si="485"/>
        <v>0</v>
      </c>
      <c r="BM75" s="1">
        <f t="shared" si="485"/>
        <v>0</v>
      </c>
      <c r="BN75" s="1">
        <f t="shared" si="485"/>
        <v>0</v>
      </c>
      <c r="BO75" s="1">
        <f t="shared" si="485"/>
        <v>0</v>
      </c>
      <c r="BP75" s="1">
        <f t="shared" si="485"/>
        <v>0</v>
      </c>
      <c r="BQ75" s="1">
        <f t="shared" si="485"/>
        <v>0</v>
      </c>
      <c r="BR75" s="1">
        <f t="shared" si="485"/>
        <v>0</v>
      </c>
      <c r="BS75" s="1">
        <f t="shared" ref="BS75:CX75" si="486">+(IF($A75="","",IF($D75&gt;MONTH(BS$16)-MONTH(InicioFuncion)+12*(YEAR(BS$16)-YEAR(InicioFuncion))+1,0,IF($E75&lt;=(MONTH(BS$16)-MONTH(InicioFuncion)+12*(YEAR(BS$16)-YEAR(InicioFuncion)))-$D75+IF($D75&lt;&gt;"",1,0),0,IF(BS$15&gt;$B$9,0,IF((YEAR($B$8)-YEAR($B$7))*12+(MONTH($B$8)-MONTH($B$7))+$E$14&lt;=BR$14,$C75))))*HLOOKUP(YEAR(BS$16),$E$3:$O$5,3,0)))</f>
        <v>0</v>
      </c>
      <c r="BT75" s="1">
        <f t="shared" si="486"/>
        <v>0</v>
      </c>
      <c r="BU75" s="1">
        <f t="shared" si="486"/>
        <v>0</v>
      </c>
      <c r="BV75" s="1">
        <f t="shared" si="486"/>
        <v>0</v>
      </c>
      <c r="BW75" s="1">
        <f t="shared" si="486"/>
        <v>0</v>
      </c>
      <c r="BX75" s="1">
        <f t="shared" si="486"/>
        <v>0</v>
      </c>
      <c r="BY75" s="1">
        <f t="shared" si="486"/>
        <v>0</v>
      </c>
      <c r="BZ75" s="1">
        <f t="shared" si="486"/>
        <v>0</v>
      </c>
      <c r="CA75" s="1">
        <f t="shared" si="486"/>
        <v>0</v>
      </c>
      <c r="CB75" s="1">
        <f t="shared" si="486"/>
        <v>0</v>
      </c>
      <c r="CC75" s="1">
        <f t="shared" si="486"/>
        <v>0</v>
      </c>
      <c r="CD75" s="1">
        <f t="shared" si="486"/>
        <v>0</v>
      </c>
      <c r="CE75" s="1">
        <f t="shared" si="486"/>
        <v>0</v>
      </c>
      <c r="CF75" s="1">
        <f t="shared" si="486"/>
        <v>0</v>
      </c>
      <c r="CG75" s="1">
        <f t="shared" si="486"/>
        <v>0</v>
      </c>
      <c r="CH75" s="1">
        <f t="shared" si="486"/>
        <v>0</v>
      </c>
      <c r="CI75" s="1">
        <f t="shared" si="486"/>
        <v>0</v>
      </c>
      <c r="CJ75" s="1">
        <f t="shared" si="486"/>
        <v>0</v>
      </c>
      <c r="CK75" s="1">
        <f t="shared" si="486"/>
        <v>0</v>
      </c>
      <c r="CL75" s="1">
        <f t="shared" si="486"/>
        <v>0</v>
      </c>
      <c r="CM75" s="1">
        <f t="shared" si="486"/>
        <v>0</v>
      </c>
      <c r="CN75" s="1">
        <f t="shared" si="486"/>
        <v>0</v>
      </c>
      <c r="CO75" s="1">
        <f t="shared" si="486"/>
        <v>0</v>
      </c>
      <c r="CP75" s="1">
        <f t="shared" si="486"/>
        <v>0</v>
      </c>
      <c r="CQ75" s="1">
        <f t="shared" si="486"/>
        <v>0</v>
      </c>
      <c r="CR75" s="1">
        <f t="shared" si="486"/>
        <v>0</v>
      </c>
      <c r="CS75" s="1">
        <f t="shared" si="486"/>
        <v>0</v>
      </c>
      <c r="CT75" s="1">
        <f t="shared" si="486"/>
        <v>0</v>
      </c>
      <c r="CU75" s="1">
        <f t="shared" si="486"/>
        <v>0</v>
      </c>
      <c r="CV75" s="1">
        <f t="shared" si="486"/>
        <v>0</v>
      </c>
      <c r="CW75" s="1">
        <f t="shared" si="486"/>
        <v>0</v>
      </c>
      <c r="CX75" s="1">
        <f t="shared" si="486"/>
        <v>0</v>
      </c>
      <c r="CY75" s="1">
        <f t="shared" ref="CY75:DV75" si="487">+(IF($A75="","",IF($D75&gt;MONTH(CY$16)-MONTH(InicioFuncion)+12*(YEAR(CY$16)-YEAR(InicioFuncion))+1,0,IF($E75&lt;=(MONTH(CY$16)-MONTH(InicioFuncion)+12*(YEAR(CY$16)-YEAR(InicioFuncion)))-$D75+IF($D75&lt;&gt;"",1,0),0,IF(CY$15&gt;$B$9,0,IF((YEAR($B$8)-YEAR($B$7))*12+(MONTH($B$8)-MONTH($B$7))+$E$14&lt;=CX$14,$C75))))*HLOOKUP(YEAR(CY$16),$E$3:$O$5,3,0)))</f>
        <v>0</v>
      </c>
      <c r="CZ75" s="1">
        <f t="shared" si="487"/>
        <v>0</v>
      </c>
      <c r="DA75" s="1">
        <f t="shared" si="487"/>
        <v>0</v>
      </c>
      <c r="DB75" s="1">
        <f t="shared" si="487"/>
        <v>0</v>
      </c>
      <c r="DC75" s="1">
        <f t="shared" si="487"/>
        <v>0</v>
      </c>
      <c r="DD75" s="1">
        <f t="shared" si="487"/>
        <v>0</v>
      </c>
      <c r="DE75" s="1">
        <f t="shared" si="487"/>
        <v>0</v>
      </c>
      <c r="DF75" s="1">
        <f t="shared" si="487"/>
        <v>0</v>
      </c>
      <c r="DG75" s="1">
        <f t="shared" si="487"/>
        <v>0</v>
      </c>
      <c r="DH75" s="1">
        <f t="shared" si="487"/>
        <v>0</v>
      </c>
      <c r="DI75" s="1">
        <f t="shared" si="487"/>
        <v>0</v>
      </c>
      <c r="DJ75" s="1">
        <f t="shared" si="487"/>
        <v>0</v>
      </c>
      <c r="DK75" s="1">
        <f t="shared" si="487"/>
        <v>0</v>
      </c>
      <c r="DL75" s="1">
        <f t="shared" si="487"/>
        <v>0</v>
      </c>
      <c r="DM75" s="1">
        <f t="shared" si="487"/>
        <v>0</v>
      </c>
      <c r="DN75" s="1">
        <f t="shared" si="487"/>
        <v>0</v>
      </c>
      <c r="DO75" s="1">
        <f t="shared" si="487"/>
        <v>0</v>
      </c>
      <c r="DP75" s="1">
        <f t="shared" si="487"/>
        <v>0</v>
      </c>
      <c r="DQ75" s="1">
        <f t="shared" si="487"/>
        <v>0</v>
      </c>
      <c r="DR75" s="1">
        <f t="shared" si="487"/>
        <v>0</v>
      </c>
      <c r="DS75" s="1">
        <f t="shared" si="487"/>
        <v>0</v>
      </c>
      <c r="DT75" s="1">
        <f t="shared" si="487"/>
        <v>0</v>
      </c>
      <c r="DU75" s="1">
        <f t="shared" si="487"/>
        <v>0</v>
      </c>
      <c r="DV75" s="1">
        <f t="shared" si="487"/>
        <v>0</v>
      </c>
    </row>
    <row r="76" spans="1:126" ht="16.5" thickBot="1" x14ac:dyDescent="0.3">
      <c r="A76" s="49" t="s">
        <v>254</v>
      </c>
      <c r="B76" s="50">
        <f>+SUM(B59:B74)</f>
        <v>43935135.94219467</v>
      </c>
      <c r="C76" s="50"/>
      <c r="D76" s="35"/>
      <c r="E76" s="3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1:126" ht="16.5" thickBot="1" x14ac:dyDescent="0.3">
      <c r="A77" s="153" t="s">
        <v>109</v>
      </c>
      <c r="B77" s="154"/>
      <c r="C77" s="155"/>
      <c r="D77" s="35"/>
      <c r="E77" s="35">
        <f t="shared" ref="E77:E91" si="488">+MesesReconocimiento</f>
        <v>56</v>
      </c>
      <c r="F77" s="1">
        <f t="shared" ref="F77:BQ81" si="489">+IF($A77="","",IF($D77=F$15,$B77+IF(MONTH($B$8)-MONTH($B$7)+$E$14=E$14,$C77,0),0))</f>
        <v>0</v>
      </c>
      <c r="G77" s="1">
        <f t="shared" si="489"/>
        <v>0</v>
      </c>
      <c r="H77" s="1">
        <f t="shared" si="489"/>
        <v>0</v>
      </c>
      <c r="I77" s="1">
        <f t="shared" si="489"/>
        <v>0</v>
      </c>
      <c r="J77" s="1">
        <f t="shared" si="489"/>
        <v>0</v>
      </c>
      <c r="K77" s="1">
        <f t="shared" si="489"/>
        <v>0</v>
      </c>
      <c r="L77" s="1">
        <f t="shared" si="489"/>
        <v>0</v>
      </c>
      <c r="M77" s="1">
        <f t="shared" si="489"/>
        <v>0</v>
      </c>
      <c r="N77" s="1">
        <f t="shared" si="489"/>
        <v>0</v>
      </c>
      <c r="O77" s="1">
        <f t="shared" si="489"/>
        <v>0</v>
      </c>
      <c r="P77" s="1">
        <f t="shared" si="489"/>
        <v>0</v>
      </c>
      <c r="Q77" s="1">
        <f t="shared" si="489"/>
        <v>0</v>
      </c>
      <c r="R77" s="1">
        <f t="shared" si="489"/>
        <v>0</v>
      </c>
      <c r="S77" s="1">
        <f t="shared" si="489"/>
        <v>0</v>
      </c>
      <c r="T77" s="1">
        <f t="shared" si="489"/>
        <v>0</v>
      </c>
      <c r="U77" s="1">
        <f t="shared" si="489"/>
        <v>0</v>
      </c>
      <c r="V77" s="1">
        <f t="shared" si="489"/>
        <v>0</v>
      </c>
      <c r="W77" s="1">
        <f t="shared" si="489"/>
        <v>0</v>
      </c>
      <c r="X77" s="1">
        <f t="shared" si="489"/>
        <v>0</v>
      </c>
      <c r="Y77" s="1">
        <f t="shared" si="489"/>
        <v>0</v>
      </c>
      <c r="Z77" s="1">
        <f t="shared" si="489"/>
        <v>0</v>
      </c>
      <c r="AA77" s="1">
        <f t="shared" si="489"/>
        <v>0</v>
      </c>
      <c r="AB77" s="1">
        <f t="shared" si="489"/>
        <v>0</v>
      </c>
      <c r="AC77" s="1">
        <f t="shared" si="489"/>
        <v>0</v>
      </c>
      <c r="AD77" s="1">
        <f t="shared" si="489"/>
        <v>0</v>
      </c>
      <c r="AE77" s="1">
        <f t="shared" si="489"/>
        <v>0</v>
      </c>
      <c r="AF77" s="1">
        <f t="shared" si="489"/>
        <v>0</v>
      </c>
      <c r="AG77" s="1">
        <f t="shared" si="489"/>
        <v>0</v>
      </c>
      <c r="AH77" s="1">
        <f t="shared" si="489"/>
        <v>0</v>
      </c>
      <c r="AI77" s="1">
        <f t="shared" si="489"/>
        <v>0</v>
      </c>
      <c r="AJ77" s="1">
        <f t="shared" si="489"/>
        <v>0</v>
      </c>
      <c r="AK77" s="1">
        <f t="shared" si="489"/>
        <v>0</v>
      </c>
      <c r="AL77" s="1">
        <f t="shared" si="489"/>
        <v>0</v>
      </c>
      <c r="AM77" s="1">
        <f t="shared" si="489"/>
        <v>0</v>
      </c>
      <c r="AN77" s="1">
        <f t="shared" si="489"/>
        <v>0</v>
      </c>
      <c r="AO77" s="1">
        <f t="shared" si="489"/>
        <v>0</v>
      </c>
      <c r="AP77" s="1">
        <f t="shared" si="489"/>
        <v>0</v>
      </c>
      <c r="AQ77" s="1">
        <f t="shared" si="489"/>
        <v>0</v>
      </c>
      <c r="AR77" s="1">
        <f t="shared" si="489"/>
        <v>0</v>
      </c>
      <c r="AS77" s="1">
        <f t="shared" si="489"/>
        <v>0</v>
      </c>
      <c r="AT77" s="1">
        <f t="shared" si="489"/>
        <v>0</v>
      </c>
      <c r="AU77" s="1">
        <f t="shared" si="489"/>
        <v>0</v>
      </c>
      <c r="AV77" s="1">
        <f t="shared" si="489"/>
        <v>0</v>
      </c>
      <c r="AW77" s="1">
        <f t="shared" si="489"/>
        <v>0</v>
      </c>
      <c r="AX77" s="1">
        <f t="shared" si="489"/>
        <v>0</v>
      </c>
      <c r="AY77" s="1">
        <f t="shared" si="489"/>
        <v>0</v>
      </c>
      <c r="AZ77" s="1">
        <f t="shared" si="489"/>
        <v>0</v>
      </c>
      <c r="BA77" s="1">
        <f t="shared" si="489"/>
        <v>0</v>
      </c>
      <c r="BB77" s="1">
        <f t="shared" si="489"/>
        <v>0</v>
      </c>
      <c r="BC77" s="1">
        <f t="shared" si="489"/>
        <v>0</v>
      </c>
      <c r="BD77" s="1">
        <f t="shared" si="489"/>
        <v>0</v>
      </c>
      <c r="BE77" s="1">
        <f t="shared" si="489"/>
        <v>0</v>
      </c>
      <c r="BF77" s="1">
        <f t="shared" si="489"/>
        <v>0</v>
      </c>
      <c r="BG77" s="1">
        <f t="shared" si="489"/>
        <v>0</v>
      </c>
      <c r="BH77" s="1">
        <f t="shared" si="489"/>
        <v>0</v>
      </c>
      <c r="BI77" s="1">
        <f t="shared" si="489"/>
        <v>0</v>
      </c>
      <c r="BJ77" s="1">
        <f t="shared" si="489"/>
        <v>0</v>
      </c>
      <c r="BK77" s="1">
        <f t="shared" si="489"/>
        <v>0</v>
      </c>
      <c r="BL77" s="1">
        <f t="shared" si="489"/>
        <v>0</v>
      </c>
      <c r="BM77" s="1">
        <f t="shared" si="489"/>
        <v>0</v>
      </c>
      <c r="BN77" s="1">
        <f t="shared" si="489"/>
        <v>0</v>
      </c>
      <c r="BO77" s="1">
        <f t="shared" si="489"/>
        <v>0</v>
      </c>
      <c r="BP77" s="1">
        <f t="shared" si="489"/>
        <v>0</v>
      </c>
      <c r="BQ77" s="1">
        <f t="shared" si="489"/>
        <v>0</v>
      </c>
      <c r="BR77" s="1">
        <f t="shared" ref="BR77:DV81" si="490">+IF($A77="","",IF($D77=BR$15,$B77+IF(MONTH($B$8)-MONTH($B$7)+$E$14=BQ$14,$C77,0),0))</f>
        <v>0</v>
      </c>
      <c r="BS77" s="1">
        <f t="shared" si="490"/>
        <v>0</v>
      </c>
      <c r="BT77" s="1">
        <f t="shared" si="490"/>
        <v>0</v>
      </c>
      <c r="BU77" s="1">
        <f t="shared" si="490"/>
        <v>0</v>
      </c>
      <c r="BV77" s="1">
        <f t="shared" si="490"/>
        <v>0</v>
      </c>
      <c r="BW77" s="1">
        <f t="shared" si="490"/>
        <v>0</v>
      </c>
      <c r="BX77" s="1">
        <f t="shared" si="490"/>
        <v>0</v>
      </c>
      <c r="BY77" s="1">
        <f t="shared" si="490"/>
        <v>0</v>
      </c>
      <c r="BZ77" s="1">
        <f t="shared" si="490"/>
        <v>0</v>
      </c>
      <c r="CA77" s="1">
        <f t="shared" si="490"/>
        <v>0</v>
      </c>
      <c r="CB77" s="1">
        <f t="shared" si="490"/>
        <v>0</v>
      </c>
      <c r="CC77" s="1">
        <f t="shared" si="490"/>
        <v>0</v>
      </c>
      <c r="CD77" s="1">
        <f t="shared" si="490"/>
        <v>0</v>
      </c>
      <c r="CE77" s="1">
        <f t="shared" si="490"/>
        <v>0</v>
      </c>
      <c r="CF77" s="1">
        <f t="shared" si="490"/>
        <v>0</v>
      </c>
      <c r="CG77" s="1">
        <f t="shared" si="490"/>
        <v>0</v>
      </c>
      <c r="CH77" s="1">
        <f t="shared" si="490"/>
        <v>0</v>
      </c>
      <c r="CI77" s="1">
        <f t="shared" si="490"/>
        <v>0</v>
      </c>
      <c r="CJ77" s="1">
        <f t="shared" si="490"/>
        <v>0</v>
      </c>
      <c r="CK77" s="1">
        <f t="shared" si="490"/>
        <v>0</v>
      </c>
      <c r="CL77" s="1">
        <f t="shared" si="490"/>
        <v>0</v>
      </c>
      <c r="CM77" s="1">
        <f t="shared" si="490"/>
        <v>0</v>
      </c>
      <c r="CN77" s="1">
        <f t="shared" si="490"/>
        <v>0</v>
      </c>
      <c r="CO77" s="1">
        <f t="shared" si="490"/>
        <v>0</v>
      </c>
      <c r="CP77" s="1">
        <f t="shared" si="490"/>
        <v>0</v>
      </c>
      <c r="CQ77" s="1">
        <f t="shared" si="490"/>
        <v>0</v>
      </c>
      <c r="CR77" s="1">
        <f t="shared" si="490"/>
        <v>0</v>
      </c>
      <c r="CS77" s="1">
        <f t="shared" si="490"/>
        <v>0</v>
      </c>
      <c r="CT77" s="1">
        <f t="shared" si="490"/>
        <v>0</v>
      </c>
      <c r="CU77" s="1">
        <f t="shared" si="490"/>
        <v>0</v>
      </c>
      <c r="CV77" s="1">
        <f t="shared" si="490"/>
        <v>0</v>
      </c>
      <c r="CW77" s="1">
        <f t="shared" si="490"/>
        <v>0</v>
      </c>
      <c r="CX77" s="1">
        <f t="shared" si="490"/>
        <v>0</v>
      </c>
      <c r="CY77" s="1">
        <f t="shared" si="490"/>
        <v>0</v>
      </c>
      <c r="CZ77" s="1">
        <f t="shared" si="490"/>
        <v>0</v>
      </c>
      <c r="DA77" s="1">
        <f t="shared" si="490"/>
        <v>0</v>
      </c>
      <c r="DB77" s="1">
        <f t="shared" si="490"/>
        <v>0</v>
      </c>
      <c r="DC77" s="1">
        <f t="shared" si="490"/>
        <v>0</v>
      </c>
      <c r="DD77" s="1">
        <f t="shared" si="490"/>
        <v>0</v>
      </c>
      <c r="DE77" s="1">
        <f t="shared" si="490"/>
        <v>0</v>
      </c>
      <c r="DF77" s="1">
        <f t="shared" si="490"/>
        <v>0</v>
      </c>
      <c r="DG77" s="1">
        <f t="shared" si="490"/>
        <v>0</v>
      </c>
      <c r="DH77" s="1">
        <f t="shared" si="490"/>
        <v>0</v>
      </c>
      <c r="DI77" s="1">
        <f t="shared" si="490"/>
        <v>0</v>
      </c>
      <c r="DJ77" s="1">
        <f t="shared" si="490"/>
        <v>0</v>
      </c>
      <c r="DK77" s="1">
        <f t="shared" si="490"/>
        <v>0</v>
      </c>
      <c r="DL77" s="1">
        <f t="shared" si="490"/>
        <v>0</v>
      </c>
      <c r="DM77" s="1">
        <f t="shared" si="490"/>
        <v>0</v>
      </c>
      <c r="DN77" s="1">
        <f t="shared" si="490"/>
        <v>0</v>
      </c>
      <c r="DO77" s="1">
        <f t="shared" si="490"/>
        <v>0</v>
      </c>
      <c r="DP77" s="1">
        <f t="shared" si="490"/>
        <v>0</v>
      </c>
      <c r="DQ77" s="1">
        <f t="shared" si="490"/>
        <v>0</v>
      </c>
      <c r="DR77" s="1">
        <f t="shared" si="490"/>
        <v>0</v>
      </c>
      <c r="DS77" s="1">
        <f t="shared" si="490"/>
        <v>0</v>
      </c>
      <c r="DT77" s="1">
        <f t="shared" si="490"/>
        <v>0</v>
      </c>
      <c r="DU77" s="1">
        <f t="shared" si="490"/>
        <v>0</v>
      </c>
      <c r="DV77" s="1">
        <f t="shared" si="490"/>
        <v>0</v>
      </c>
    </row>
    <row r="78" spans="1:126" x14ac:dyDescent="0.25">
      <c r="A78" t="s">
        <v>110</v>
      </c>
      <c r="B78" s="62">
        <f>+IF(Tipologia_Campo="FTTH",Detalle!P968,0)</f>
        <v>0</v>
      </c>
      <c r="C78" s="11"/>
      <c r="D78" s="35"/>
      <c r="E78" s="35">
        <f t="shared" si="488"/>
        <v>56</v>
      </c>
      <c r="F78" s="1">
        <f t="shared" ref="F78:U86" si="491">+IF($A78="","",IF($D78=F$15,$B78+IF(MONTH($B$8)-MONTH($B$7)+$E$14=E$14,$C78,0),0))</f>
        <v>0</v>
      </c>
      <c r="G78" s="1">
        <f t="shared" si="489"/>
        <v>0</v>
      </c>
      <c r="H78" s="1">
        <f t="shared" si="489"/>
        <v>0</v>
      </c>
      <c r="I78" s="1">
        <f t="shared" si="489"/>
        <v>0</v>
      </c>
      <c r="J78" s="1">
        <f t="shared" si="489"/>
        <v>0</v>
      </c>
      <c r="K78" s="1">
        <f t="shared" si="489"/>
        <v>0</v>
      </c>
      <c r="L78" s="1">
        <f t="shared" si="489"/>
        <v>0</v>
      </c>
      <c r="M78" s="1">
        <f t="shared" si="489"/>
        <v>0</v>
      </c>
      <c r="N78" s="1">
        <f t="shared" si="489"/>
        <v>0</v>
      </c>
      <c r="O78" s="1">
        <f t="shared" si="489"/>
        <v>0</v>
      </c>
      <c r="P78" s="1">
        <f t="shared" si="489"/>
        <v>0</v>
      </c>
      <c r="Q78" s="1">
        <f t="shared" si="489"/>
        <v>0</v>
      </c>
      <c r="R78" s="1">
        <f t="shared" si="489"/>
        <v>0</v>
      </c>
      <c r="S78" s="1">
        <f t="shared" si="489"/>
        <v>0</v>
      </c>
      <c r="T78" s="1">
        <f t="shared" si="489"/>
        <v>0</v>
      </c>
      <c r="U78" s="1">
        <f t="shared" si="489"/>
        <v>0</v>
      </c>
      <c r="V78" s="1">
        <f t="shared" si="489"/>
        <v>0</v>
      </c>
      <c r="W78" s="1">
        <f t="shared" si="489"/>
        <v>0</v>
      </c>
      <c r="X78" s="1">
        <f t="shared" si="489"/>
        <v>0</v>
      </c>
      <c r="Y78" s="1">
        <f t="shared" si="489"/>
        <v>0</v>
      </c>
      <c r="Z78" s="1">
        <f t="shared" si="489"/>
        <v>0</v>
      </c>
      <c r="AA78" s="1">
        <f t="shared" si="489"/>
        <v>0</v>
      </c>
      <c r="AB78" s="1">
        <f t="shared" si="489"/>
        <v>0</v>
      </c>
      <c r="AC78" s="1">
        <f t="shared" si="489"/>
        <v>0</v>
      </c>
      <c r="AD78" s="1">
        <f t="shared" si="489"/>
        <v>0</v>
      </c>
      <c r="AE78" s="1">
        <f t="shared" si="489"/>
        <v>0</v>
      </c>
      <c r="AF78" s="1">
        <f t="shared" si="489"/>
        <v>0</v>
      </c>
      <c r="AG78" s="1">
        <f t="shared" si="489"/>
        <v>0</v>
      </c>
      <c r="AH78" s="1">
        <f t="shared" si="489"/>
        <v>0</v>
      </c>
      <c r="AI78" s="1">
        <f t="shared" si="489"/>
        <v>0</v>
      </c>
      <c r="AJ78" s="1">
        <f t="shared" si="489"/>
        <v>0</v>
      </c>
      <c r="AK78" s="1">
        <f t="shared" si="489"/>
        <v>0</v>
      </c>
      <c r="AL78" s="1">
        <f t="shared" si="489"/>
        <v>0</v>
      </c>
      <c r="AM78" s="1">
        <f t="shared" si="489"/>
        <v>0</v>
      </c>
      <c r="AN78" s="1">
        <f t="shared" si="489"/>
        <v>0</v>
      </c>
      <c r="AO78" s="1">
        <f t="shared" si="489"/>
        <v>0</v>
      </c>
      <c r="AP78" s="1">
        <f t="shared" si="489"/>
        <v>0</v>
      </c>
      <c r="AQ78" s="1">
        <f t="shared" si="489"/>
        <v>0</v>
      </c>
      <c r="AR78" s="1">
        <f t="shared" si="489"/>
        <v>0</v>
      </c>
      <c r="AS78" s="1">
        <f t="shared" si="489"/>
        <v>0</v>
      </c>
      <c r="AT78" s="1">
        <f t="shared" si="489"/>
        <v>0</v>
      </c>
      <c r="AU78" s="1">
        <f t="shared" si="489"/>
        <v>0</v>
      </c>
      <c r="AV78" s="1">
        <f t="shared" si="489"/>
        <v>0</v>
      </c>
      <c r="AW78" s="1">
        <f t="shared" si="489"/>
        <v>0</v>
      </c>
      <c r="AX78" s="1">
        <f t="shared" si="489"/>
        <v>0</v>
      </c>
      <c r="AY78" s="1">
        <f t="shared" si="489"/>
        <v>0</v>
      </c>
      <c r="AZ78" s="1">
        <f t="shared" si="489"/>
        <v>0</v>
      </c>
      <c r="BA78" s="1">
        <f t="shared" si="489"/>
        <v>0</v>
      </c>
      <c r="BB78" s="1">
        <f t="shared" si="489"/>
        <v>0</v>
      </c>
      <c r="BC78" s="1">
        <f t="shared" si="489"/>
        <v>0</v>
      </c>
      <c r="BD78" s="1">
        <f t="shared" si="489"/>
        <v>0</v>
      </c>
      <c r="BE78" s="1">
        <f t="shared" si="489"/>
        <v>0</v>
      </c>
      <c r="BF78" s="1">
        <f t="shared" si="489"/>
        <v>0</v>
      </c>
      <c r="BG78" s="1">
        <f t="shared" si="489"/>
        <v>0</v>
      </c>
      <c r="BH78" s="1">
        <f t="shared" si="489"/>
        <v>0</v>
      </c>
      <c r="BI78" s="1">
        <f t="shared" si="489"/>
        <v>0</v>
      </c>
      <c r="BJ78" s="1">
        <f t="shared" si="489"/>
        <v>0</v>
      </c>
      <c r="BK78" s="1">
        <f t="shared" si="489"/>
        <v>0</v>
      </c>
      <c r="BL78" s="1">
        <f t="shared" si="489"/>
        <v>0</v>
      </c>
      <c r="BM78" s="1">
        <f t="shared" si="489"/>
        <v>0</v>
      </c>
      <c r="BN78" s="1">
        <f t="shared" si="489"/>
        <v>0</v>
      </c>
      <c r="BO78" s="1">
        <f t="shared" si="489"/>
        <v>0</v>
      </c>
      <c r="BP78" s="1">
        <f t="shared" si="489"/>
        <v>0</v>
      </c>
      <c r="BQ78" s="1">
        <f t="shared" si="489"/>
        <v>0</v>
      </c>
      <c r="BR78" s="1">
        <f t="shared" si="490"/>
        <v>0</v>
      </c>
      <c r="BS78" s="1">
        <f t="shared" si="490"/>
        <v>0</v>
      </c>
      <c r="BT78" s="1">
        <f t="shared" si="490"/>
        <v>0</v>
      </c>
      <c r="BU78" s="1">
        <f t="shared" si="490"/>
        <v>0</v>
      </c>
      <c r="BV78" s="1">
        <f t="shared" si="490"/>
        <v>0</v>
      </c>
      <c r="BW78" s="1">
        <f t="shared" si="490"/>
        <v>0</v>
      </c>
      <c r="BX78" s="1">
        <f t="shared" si="490"/>
        <v>0</v>
      </c>
      <c r="BY78" s="1">
        <f t="shared" si="490"/>
        <v>0</v>
      </c>
      <c r="BZ78" s="1">
        <f t="shared" si="490"/>
        <v>0</v>
      </c>
      <c r="CA78" s="1">
        <f t="shared" si="490"/>
        <v>0</v>
      </c>
      <c r="CB78" s="1">
        <f t="shared" si="490"/>
        <v>0</v>
      </c>
      <c r="CC78" s="1">
        <f t="shared" si="490"/>
        <v>0</v>
      </c>
      <c r="CD78" s="1">
        <f t="shared" si="490"/>
        <v>0</v>
      </c>
      <c r="CE78" s="1">
        <f t="shared" si="490"/>
        <v>0</v>
      </c>
      <c r="CF78" s="1">
        <f t="shared" si="490"/>
        <v>0</v>
      </c>
      <c r="CG78" s="1">
        <f t="shared" si="490"/>
        <v>0</v>
      </c>
      <c r="CH78" s="1">
        <f t="shared" si="490"/>
        <v>0</v>
      </c>
      <c r="CI78" s="1">
        <f t="shared" si="490"/>
        <v>0</v>
      </c>
      <c r="CJ78" s="1">
        <f t="shared" si="490"/>
        <v>0</v>
      </c>
      <c r="CK78" s="1">
        <f t="shared" si="490"/>
        <v>0</v>
      </c>
      <c r="CL78" s="1">
        <f t="shared" si="490"/>
        <v>0</v>
      </c>
      <c r="CM78" s="1">
        <f t="shared" si="490"/>
        <v>0</v>
      </c>
      <c r="CN78" s="1">
        <f t="shared" si="490"/>
        <v>0</v>
      </c>
      <c r="CO78" s="1">
        <f t="shared" si="490"/>
        <v>0</v>
      </c>
      <c r="CP78" s="1">
        <f t="shared" si="490"/>
        <v>0</v>
      </c>
      <c r="CQ78" s="1">
        <f t="shared" si="490"/>
        <v>0</v>
      </c>
      <c r="CR78" s="1">
        <f t="shared" si="490"/>
        <v>0</v>
      </c>
      <c r="CS78" s="1">
        <f t="shared" si="490"/>
        <v>0</v>
      </c>
      <c r="CT78" s="1">
        <f t="shared" si="490"/>
        <v>0</v>
      </c>
      <c r="CU78" s="1">
        <f t="shared" si="490"/>
        <v>0</v>
      </c>
      <c r="CV78" s="1">
        <f t="shared" si="490"/>
        <v>0</v>
      </c>
      <c r="CW78" s="1">
        <f t="shared" si="490"/>
        <v>0</v>
      </c>
      <c r="CX78" s="1">
        <f t="shared" si="490"/>
        <v>0</v>
      </c>
      <c r="CY78" s="1">
        <f t="shared" si="490"/>
        <v>0</v>
      </c>
      <c r="CZ78" s="1">
        <f t="shared" si="490"/>
        <v>0</v>
      </c>
      <c r="DA78" s="1">
        <f t="shared" si="490"/>
        <v>0</v>
      </c>
      <c r="DB78" s="1">
        <f t="shared" si="490"/>
        <v>0</v>
      </c>
      <c r="DC78" s="1">
        <f t="shared" si="490"/>
        <v>0</v>
      </c>
      <c r="DD78" s="1">
        <f t="shared" si="490"/>
        <v>0</v>
      </c>
      <c r="DE78" s="1">
        <f t="shared" si="490"/>
        <v>0</v>
      </c>
      <c r="DF78" s="1">
        <f t="shared" si="490"/>
        <v>0</v>
      </c>
      <c r="DG78" s="1">
        <f t="shared" si="490"/>
        <v>0</v>
      </c>
      <c r="DH78" s="1">
        <f t="shared" si="490"/>
        <v>0</v>
      </c>
      <c r="DI78" s="1">
        <f t="shared" si="490"/>
        <v>0</v>
      </c>
      <c r="DJ78" s="1">
        <f t="shared" si="490"/>
        <v>0</v>
      </c>
      <c r="DK78" s="1">
        <f t="shared" si="490"/>
        <v>0</v>
      </c>
      <c r="DL78" s="1">
        <f t="shared" si="490"/>
        <v>0</v>
      </c>
      <c r="DM78" s="1">
        <f t="shared" si="490"/>
        <v>0</v>
      </c>
      <c r="DN78" s="1">
        <f t="shared" si="490"/>
        <v>0</v>
      </c>
      <c r="DO78" s="1">
        <f t="shared" si="490"/>
        <v>0</v>
      </c>
      <c r="DP78" s="1">
        <f t="shared" si="490"/>
        <v>0</v>
      </c>
      <c r="DQ78" s="1">
        <f t="shared" si="490"/>
        <v>0</v>
      </c>
      <c r="DR78" s="1">
        <f t="shared" si="490"/>
        <v>0</v>
      </c>
      <c r="DS78" s="1">
        <f t="shared" si="490"/>
        <v>0</v>
      </c>
      <c r="DT78" s="1">
        <f t="shared" si="490"/>
        <v>0</v>
      </c>
      <c r="DU78" s="1">
        <f t="shared" si="490"/>
        <v>0</v>
      </c>
      <c r="DV78" s="1">
        <f t="shared" si="490"/>
        <v>0</v>
      </c>
    </row>
    <row r="79" spans="1:126" x14ac:dyDescent="0.25">
      <c r="A79" t="s">
        <v>111</v>
      </c>
      <c r="B79" s="62">
        <f>++IF(Tipologia_Campo="FTTH",Detalle!P969,0)</f>
        <v>0</v>
      </c>
      <c r="C79" s="11"/>
      <c r="D79" s="35"/>
      <c r="E79" s="35">
        <f t="shared" si="488"/>
        <v>56</v>
      </c>
      <c r="F79" s="1">
        <f t="shared" si="491"/>
        <v>0</v>
      </c>
      <c r="G79" s="1">
        <f t="shared" si="489"/>
        <v>0</v>
      </c>
      <c r="H79" s="1">
        <f t="shared" si="489"/>
        <v>0</v>
      </c>
      <c r="I79" s="1">
        <f t="shared" si="489"/>
        <v>0</v>
      </c>
      <c r="J79" s="1">
        <f t="shared" si="489"/>
        <v>0</v>
      </c>
      <c r="K79" s="1">
        <f t="shared" si="489"/>
        <v>0</v>
      </c>
      <c r="L79" s="1">
        <f t="shared" si="489"/>
        <v>0</v>
      </c>
      <c r="M79" s="1">
        <f t="shared" si="489"/>
        <v>0</v>
      </c>
      <c r="N79" s="1">
        <f t="shared" si="489"/>
        <v>0</v>
      </c>
      <c r="O79" s="1">
        <f t="shared" si="489"/>
        <v>0</v>
      </c>
      <c r="P79" s="1">
        <f t="shared" si="489"/>
        <v>0</v>
      </c>
      <c r="Q79" s="1">
        <f t="shared" si="489"/>
        <v>0</v>
      </c>
      <c r="R79" s="1">
        <f t="shared" si="489"/>
        <v>0</v>
      </c>
      <c r="S79" s="1">
        <f t="shared" si="489"/>
        <v>0</v>
      </c>
      <c r="T79" s="1">
        <f t="shared" si="489"/>
        <v>0</v>
      </c>
      <c r="U79" s="1">
        <f t="shared" si="489"/>
        <v>0</v>
      </c>
      <c r="V79" s="1">
        <f t="shared" si="489"/>
        <v>0</v>
      </c>
      <c r="W79" s="1">
        <f t="shared" si="489"/>
        <v>0</v>
      </c>
      <c r="X79" s="1">
        <f t="shared" si="489"/>
        <v>0</v>
      </c>
      <c r="Y79" s="1">
        <f t="shared" si="489"/>
        <v>0</v>
      </c>
      <c r="Z79" s="1">
        <f t="shared" si="489"/>
        <v>0</v>
      </c>
      <c r="AA79" s="1">
        <f t="shared" si="489"/>
        <v>0</v>
      </c>
      <c r="AB79" s="1">
        <f t="shared" si="489"/>
        <v>0</v>
      </c>
      <c r="AC79" s="1">
        <f t="shared" si="489"/>
        <v>0</v>
      </c>
      <c r="AD79" s="1">
        <f t="shared" si="489"/>
        <v>0</v>
      </c>
      <c r="AE79" s="1">
        <f t="shared" si="489"/>
        <v>0</v>
      </c>
      <c r="AF79" s="1">
        <f t="shared" si="489"/>
        <v>0</v>
      </c>
      <c r="AG79" s="1">
        <f t="shared" si="489"/>
        <v>0</v>
      </c>
      <c r="AH79" s="1">
        <f t="shared" si="489"/>
        <v>0</v>
      </c>
      <c r="AI79" s="1">
        <f t="shared" si="489"/>
        <v>0</v>
      </c>
      <c r="AJ79" s="1">
        <f t="shared" si="489"/>
        <v>0</v>
      </c>
      <c r="AK79" s="1">
        <f t="shared" si="489"/>
        <v>0</v>
      </c>
      <c r="AL79" s="1">
        <f t="shared" si="489"/>
        <v>0</v>
      </c>
      <c r="AM79" s="1">
        <f t="shared" si="489"/>
        <v>0</v>
      </c>
      <c r="AN79" s="1">
        <f t="shared" si="489"/>
        <v>0</v>
      </c>
      <c r="AO79" s="1">
        <f t="shared" si="489"/>
        <v>0</v>
      </c>
      <c r="AP79" s="1">
        <f t="shared" si="489"/>
        <v>0</v>
      </c>
      <c r="AQ79" s="1">
        <f t="shared" si="489"/>
        <v>0</v>
      </c>
      <c r="AR79" s="1">
        <f t="shared" si="489"/>
        <v>0</v>
      </c>
      <c r="AS79" s="1">
        <f t="shared" si="489"/>
        <v>0</v>
      </c>
      <c r="AT79" s="1">
        <f t="shared" si="489"/>
        <v>0</v>
      </c>
      <c r="AU79" s="1">
        <f t="shared" si="489"/>
        <v>0</v>
      </c>
      <c r="AV79" s="1">
        <f t="shared" si="489"/>
        <v>0</v>
      </c>
      <c r="AW79" s="1">
        <f t="shared" si="489"/>
        <v>0</v>
      </c>
      <c r="AX79" s="1">
        <f t="shared" si="489"/>
        <v>0</v>
      </c>
      <c r="AY79" s="1">
        <f t="shared" si="489"/>
        <v>0</v>
      </c>
      <c r="AZ79" s="1">
        <f t="shared" si="489"/>
        <v>0</v>
      </c>
      <c r="BA79" s="1">
        <f t="shared" si="489"/>
        <v>0</v>
      </c>
      <c r="BB79" s="1">
        <f t="shared" si="489"/>
        <v>0</v>
      </c>
      <c r="BC79" s="1">
        <f t="shared" si="489"/>
        <v>0</v>
      </c>
      <c r="BD79" s="1">
        <f t="shared" si="489"/>
        <v>0</v>
      </c>
      <c r="BE79" s="1">
        <f t="shared" si="489"/>
        <v>0</v>
      </c>
      <c r="BF79" s="1">
        <f t="shared" si="489"/>
        <v>0</v>
      </c>
      <c r="BG79" s="1">
        <f t="shared" si="489"/>
        <v>0</v>
      </c>
      <c r="BH79" s="1">
        <f t="shared" si="489"/>
        <v>0</v>
      </c>
      <c r="BI79" s="1">
        <f t="shared" si="489"/>
        <v>0</v>
      </c>
      <c r="BJ79" s="1">
        <f t="shared" si="489"/>
        <v>0</v>
      </c>
      <c r="BK79" s="1">
        <f t="shared" si="489"/>
        <v>0</v>
      </c>
      <c r="BL79" s="1">
        <f t="shared" si="489"/>
        <v>0</v>
      </c>
      <c r="BM79" s="1">
        <f t="shared" si="489"/>
        <v>0</v>
      </c>
      <c r="BN79" s="1">
        <f t="shared" si="489"/>
        <v>0</v>
      </c>
      <c r="BO79" s="1">
        <f t="shared" si="489"/>
        <v>0</v>
      </c>
      <c r="BP79" s="1">
        <f t="shared" si="489"/>
        <v>0</v>
      </c>
      <c r="BQ79" s="1">
        <f t="shared" si="489"/>
        <v>0</v>
      </c>
      <c r="BR79" s="1">
        <f t="shared" si="490"/>
        <v>0</v>
      </c>
      <c r="BS79" s="1">
        <f t="shared" si="490"/>
        <v>0</v>
      </c>
      <c r="BT79" s="1">
        <f t="shared" si="490"/>
        <v>0</v>
      </c>
      <c r="BU79" s="1">
        <f t="shared" si="490"/>
        <v>0</v>
      </c>
      <c r="BV79" s="1">
        <f t="shared" si="490"/>
        <v>0</v>
      </c>
      <c r="BW79" s="1">
        <f t="shared" si="490"/>
        <v>0</v>
      </c>
      <c r="BX79" s="1">
        <f t="shared" si="490"/>
        <v>0</v>
      </c>
      <c r="BY79" s="1">
        <f t="shared" si="490"/>
        <v>0</v>
      </c>
      <c r="BZ79" s="1">
        <f t="shared" si="490"/>
        <v>0</v>
      </c>
      <c r="CA79" s="1">
        <f t="shared" si="490"/>
        <v>0</v>
      </c>
      <c r="CB79" s="1">
        <f t="shared" si="490"/>
        <v>0</v>
      </c>
      <c r="CC79" s="1">
        <f t="shared" si="490"/>
        <v>0</v>
      </c>
      <c r="CD79" s="1">
        <f t="shared" si="490"/>
        <v>0</v>
      </c>
      <c r="CE79" s="1">
        <f t="shared" si="490"/>
        <v>0</v>
      </c>
      <c r="CF79" s="1">
        <f t="shared" si="490"/>
        <v>0</v>
      </c>
      <c r="CG79" s="1">
        <f t="shared" si="490"/>
        <v>0</v>
      </c>
      <c r="CH79" s="1">
        <f t="shared" si="490"/>
        <v>0</v>
      </c>
      <c r="CI79" s="1">
        <f t="shared" si="490"/>
        <v>0</v>
      </c>
      <c r="CJ79" s="1">
        <f t="shared" si="490"/>
        <v>0</v>
      </c>
      <c r="CK79" s="1">
        <f t="shared" si="490"/>
        <v>0</v>
      </c>
      <c r="CL79" s="1">
        <f t="shared" si="490"/>
        <v>0</v>
      </c>
      <c r="CM79" s="1">
        <f t="shared" si="490"/>
        <v>0</v>
      </c>
      <c r="CN79" s="1">
        <f t="shared" si="490"/>
        <v>0</v>
      </c>
      <c r="CO79" s="1">
        <f t="shared" si="490"/>
        <v>0</v>
      </c>
      <c r="CP79" s="1">
        <f t="shared" si="490"/>
        <v>0</v>
      </c>
      <c r="CQ79" s="1">
        <f t="shared" si="490"/>
        <v>0</v>
      </c>
      <c r="CR79" s="1">
        <f t="shared" si="490"/>
        <v>0</v>
      </c>
      <c r="CS79" s="1">
        <f t="shared" si="490"/>
        <v>0</v>
      </c>
      <c r="CT79" s="1">
        <f t="shared" si="490"/>
        <v>0</v>
      </c>
      <c r="CU79" s="1">
        <f t="shared" si="490"/>
        <v>0</v>
      </c>
      <c r="CV79" s="1">
        <f t="shared" si="490"/>
        <v>0</v>
      </c>
      <c r="CW79" s="1">
        <f t="shared" si="490"/>
        <v>0</v>
      </c>
      <c r="CX79" s="1">
        <f t="shared" si="490"/>
        <v>0</v>
      </c>
      <c r="CY79" s="1">
        <f t="shared" si="490"/>
        <v>0</v>
      </c>
      <c r="CZ79" s="1">
        <f t="shared" si="490"/>
        <v>0</v>
      </c>
      <c r="DA79" s="1">
        <f t="shared" si="490"/>
        <v>0</v>
      </c>
      <c r="DB79" s="1">
        <f t="shared" si="490"/>
        <v>0</v>
      </c>
      <c r="DC79" s="1">
        <f t="shared" si="490"/>
        <v>0</v>
      </c>
      <c r="DD79" s="1">
        <f t="shared" si="490"/>
        <v>0</v>
      </c>
      <c r="DE79" s="1">
        <f t="shared" si="490"/>
        <v>0</v>
      </c>
      <c r="DF79" s="1">
        <f t="shared" si="490"/>
        <v>0</v>
      </c>
      <c r="DG79" s="1">
        <f t="shared" si="490"/>
        <v>0</v>
      </c>
      <c r="DH79" s="1">
        <f t="shared" si="490"/>
        <v>0</v>
      </c>
      <c r="DI79" s="1">
        <f t="shared" si="490"/>
        <v>0</v>
      </c>
      <c r="DJ79" s="1">
        <f t="shared" si="490"/>
        <v>0</v>
      </c>
      <c r="DK79" s="1">
        <f t="shared" si="490"/>
        <v>0</v>
      </c>
      <c r="DL79" s="1">
        <f t="shared" si="490"/>
        <v>0</v>
      </c>
      <c r="DM79" s="1">
        <f t="shared" si="490"/>
        <v>0</v>
      </c>
      <c r="DN79" s="1">
        <f t="shared" si="490"/>
        <v>0</v>
      </c>
      <c r="DO79" s="1">
        <f t="shared" si="490"/>
        <v>0</v>
      </c>
      <c r="DP79" s="1">
        <f t="shared" si="490"/>
        <v>0</v>
      </c>
      <c r="DQ79" s="1">
        <f t="shared" si="490"/>
        <v>0</v>
      </c>
      <c r="DR79" s="1">
        <f t="shared" si="490"/>
        <v>0</v>
      </c>
      <c r="DS79" s="1">
        <f t="shared" si="490"/>
        <v>0</v>
      </c>
      <c r="DT79" s="1">
        <f t="shared" si="490"/>
        <v>0</v>
      </c>
      <c r="DU79" s="1">
        <f t="shared" si="490"/>
        <v>0</v>
      </c>
      <c r="DV79" s="1">
        <f t="shared" si="490"/>
        <v>0</v>
      </c>
    </row>
    <row r="80" spans="1:126" x14ac:dyDescent="0.25">
      <c r="A80" t="s">
        <v>263</v>
      </c>
      <c r="B80" s="62">
        <f>++IF(Tipologia_Campo="FTTH",Detalle!P970,0)</f>
        <v>0</v>
      </c>
      <c r="C80" s="11"/>
      <c r="D80" s="35"/>
      <c r="E80" s="35">
        <f t="shared" si="488"/>
        <v>56</v>
      </c>
      <c r="F80" s="1">
        <f t="shared" si="491"/>
        <v>0</v>
      </c>
      <c r="G80" s="1">
        <f t="shared" si="489"/>
        <v>0</v>
      </c>
      <c r="H80" s="1">
        <f t="shared" si="489"/>
        <v>0</v>
      </c>
      <c r="I80" s="1">
        <f t="shared" si="489"/>
        <v>0</v>
      </c>
      <c r="J80" s="1">
        <f t="shared" si="489"/>
        <v>0</v>
      </c>
      <c r="K80" s="1">
        <f t="shared" si="489"/>
        <v>0</v>
      </c>
      <c r="L80" s="1">
        <f t="shared" si="489"/>
        <v>0</v>
      </c>
      <c r="M80" s="1">
        <f t="shared" si="489"/>
        <v>0</v>
      </c>
      <c r="N80" s="1">
        <f t="shared" si="489"/>
        <v>0</v>
      </c>
      <c r="O80" s="1">
        <f t="shared" si="489"/>
        <v>0</v>
      </c>
      <c r="P80" s="1">
        <f t="shared" si="489"/>
        <v>0</v>
      </c>
      <c r="Q80" s="1">
        <f t="shared" si="489"/>
        <v>0</v>
      </c>
      <c r="R80" s="1">
        <f t="shared" si="489"/>
        <v>0</v>
      </c>
      <c r="S80" s="1">
        <f t="shared" si="489"/>
        <v>0</v>
      </c>
      <c r="T80" s="1">
        <f t="shared" si="489"/>
        <v>0</v>
      </c>
      <c r="U80" s="1">
        <f t="shared" si="489"/>
        <v>0</v>
      </c>
      <c r="V80" s="1">
        <f t="shared" si="489"/>
        <v>0</v>
      </c>
      <c r="W80" s="1">
        <f t="shared" si="489"/>
        <v>0</v>
      </c>
      <c r="X80" s="1">
        <f t="shared" si="489"/>
        <v>0</v>
      </c>
      <c r="Y80" s="1">
        <f t="shared" si="489"/>
        <v>0</v>
      </c>
      <c r="Z80" s="1">
        <f t="shared" si="489"/>
        <v>0</v>
      </c>
      <c r="AA80" s="1">
        <f t="shared" si="489"/>
        <v>0</v>
      </c>
      <c r="AB80" s="1">
        <f t="shared" si="489"/>
        <v>0</v>
      </c>
      <c r="AC80" s="1">
        <f t="shared" si="489"/>
        <v>0</v>
      </c>
      <c r="AD80" s="1">
        <f t="shared" si="489"/>
        <v>0</v>
      </c>
      <c r="AE80" s="1">
        <f t="shared" si="489"/>
        <v>0</v>
      </c>
      <c r="AF80" s="1">
        <f t="shared" si="489"/>
        <v>0</v>
      </c>
      <c r="AG80" s="1">
        <f t="shared" si="489"/>
        <v>0</v>
      </c>
      <c r="AH80" s="1">
        <f t="shared" si="489"/>
        <v>0</v>
      </c>
      <c r="AI80" s="1">
        <f t="shared" si="489"/>
        <v>0</v>
      </c>
      <c r="AJ80" s="1">
        <f t="shared" si="489"/>
        <v>0</v>
      </c>
      <c r="AK80" s="1">
        <f t="shared" si="489"/>
        <v>0</v>
      </c>
      <c r="AL80" s="1">
        <f t="shared" si="489"/>
        <v>0</v>
      </c>
      <c r="AM80" s="1">
        <f t="shared" si="489"/>
        <v>0</v>
      </c>
      <c r="AN80" s="1">
        <f t="shared" si="489"/>
        <v>0</v>
      </c>
      <c r="AO80" s="1">
        <f t="shared" si="489"/>
        <v>0</v>
      </c>
      <c r="AP80" s="1">
        <f t="shared" si="489"/>
        <v>0</v>
      </c>
      <c r="AQ80" s="1">
        <f t="shared" si="489"/>
        <v>0</v>
      </c>
      <c r="AR80" s="1">
        <f t="shared" si="489"/>
        <v>0</v>
      </c>
      <c r="AS80" s="1">
        <f t="shared" si="489"/>
        <v>0</v>
      </c>
      <c r="AT80" s="1">
        <f t="shared" si="489"/>
        <v>0</v>
      </c>
      <c r="AU80" s="1">
        <f t="shared" si="489"/>
        <v>0</v>
      </c>
      <c r="AV80" s="1">
        <f t="shared" si="489"/>
        <v>0</v>
      </c>
      <c r="AW80" s="1">
        <f t="shared" si="489"/>
        <v>0</v>
      </c>
      <c r="AX80" s="1">
        <f t="shared" si="489"/>
        <v>0</v>
      </c>
      <c r="AY80" s="1">
        <f t="shared" si="489"/>
        <v>0</v>
      </c>
      <c r="AZ80" s="1">
        <f t="shared" si="489"/>
        <v>0</v>
      </c>
      <c r="BA80" s="1">
        <f t="shared" si="489"/>
        <v>0</v>
      </c>
      <c r="BB80" s="1">
        <f t="shared" si="489"/>
        <v>0</v>
      </c>
      <c r="BC80" s="1">
        <f t="shared" si="489"/>
        <v>0</v>
      </c>
      <c r="BD80" s="1">
        <f t="shared" si="489"/>
        <v>0</v>
      </c>
      <c r="BE80" s="1">
        <f t="shared" si="489"/>
        <v>0</v>
      </c>
      <c r="BF80" s="1">
        <f t="shared" si="489"/>
        <v>0</v>
      </c>
      <c r="BG80" s="1">
        <f t="shared" si="489"/>
        <v>0</v>
      </c>
      <c r="BH80" s="1">
        <f t="shared" si="489"/>
        <v>0</v>
      </c>
      <c r="BI80" s="1">
        <f t="shared" si="489"/>
        <v>0</v>
      </c>
      <c r="BJ80" s="1">
        <f t="shared" si="489"/>
        <v>0</v>
      </c>
      <c r="BK80" s="1">
        <f t="shared" si="489"/>
        <v>0</v>
      </c>
      <c r="BL80" s="1">
        <f t="shared" si="489"/>
        <v>0</v>
      </c>
      <c r="BM80" s="1">
        <f t="shared" si="489"/>
        <v>0</v>
      </c>
      <c r="BN80" s="1">
        <f t="shared" si="489"/>
        <v>0</v>
      </c>
      <c r="BO80" s="1">
        <f t="shared" si="489"/>
        <v>0</v>
      </c>
      <c r="BP80" s="1">
        <f t="shared" si="489"/>
        <v>0</v>
      </c>
      <c r="BQ80" s="1">
        <f t="shared" si="489"/>
        <v>0</v>
      </c>
      <c r="BR80" s="1">
        <f t="shared" si="490"/>
        <v>0</v>
      </c>
      <c r="BS80" s="1">
        <f t="shared" si="490"/>
        <v>0</v>
      </c>
      <c r="BT80" s="1">
        <f t="shared" si="490"/>
        <v>0</v>
      </c>
      <c r="BU80" s="1">
        <f t="shared" si="490"/>
        <v>0</v>
      </c>
      <c r="BV80" s="1">
        <f t="shared" si="490"/>
        <v>0</v>
      </c>
      <c r="BW80" s="1">
        <f t="shared" si="490"/>
        <v>0</v>
      </c>
      <c r="BX80" s="1">
        <f t="shared" si="490"/>
        <v>0</v>
      </c>
      <c r="BY80" s="1">
        <f t="shared" si="490"/>
        <v>0</v>
      </c>
      <c r="BZ80" s="1">
        <f t="shared" si="490"/>
        <v>0</v>
      </c>
      <c r="CA80" s="1">
        <f t="shared" si="490"/>
        <v>0</v>
      </c>
      <c r="CB80" s="1">
        <f t="shared" si="490"/>
        <v>0</v>
      </c>
      <c r="CC80" s="1">
        <f t="shared" si="490"/>
        <v>0</v>
      </c>
      <c r="CD80" s="1">
        <f t="shared" si="490"/>
        <v>0</v>
      </c>
      <c r="CE80" s="1">
        <f t="shared" si="490"/>
        <v>0</v>
      </c>
      <c r="CF80" s="1">
        <f t="shared" si="490"/>
        <v>0</v>
      </c>
      <c r="CG80" s="1">
        <f t="shared" si="490"/>
        <v>0</v>
      </c>
      <c r="CH80" s="1">
        <f t="shared" si="490"/>
        <v>0</v>
      </c>
      <c r="CI80" s="1">
        <f t="shared" si="490"/>
        <v>0</v>
      </c>
      <c r="CJ80" s="1">
        <f t="shared" si="490"/>
        <v>0</v>
      </c>
      <c r="CK80" s="1">
        <f t="shared" si="490"/>
        <v>0</v>
      </c>
      <c r="CL80" s="1">
        <f t="shared" si="490"/>
        <v>0</v>
      </c>
      <c r="CM80" s="1">
        <f t="shared" si="490"/>
        <v>0</v>
      </c>
      <c r="CN80" s="1">
        <f t="shared" si="490"/>
        <v>0</v>
      </c>
      <c r="CO80" s="1">
        <f t="shared" si="490"/>
        <v>0</v>
      </c>
      <c r="CP80" s="1">
        <f t="shared" si="490"/>
        <v>0</v>
      </c>
      <c r="CQ80" s="1">
        <f t="shared" si="490"/>
        <v>0</v>
      </c>
      <c r="CR80" s="1">
        <f t="shared" si="490"/>
        <v>0</v>
      </c>
      <c r="CS80" s="1">
        <f t="shared" si="490"/>
        <v>0</v>
      </c>
      <c r="CT80" s="1">
        <f t="shared" si="490"/>
        <v>0</v>
      </c>
      <c r="CU80" s="1">
        <f t="shared" si="490"/>
        <v>0</v>
      </c>
      <c r="CV80" s="1">
        <f t="shared" si="490"/>
        <v>0</v>
      </c>
      <c r="CW80" s="1">
        <f t="shared" si="490"/>
        <v>0</v>
      </c>
      <c r="CX80" s="1">
        <f t="shared" si="490"/>
        <v>0</v>
      </c>
      <c r="CY80" s="1">
        <f t="shared" si="490"/>
        <v>0</v>
      </c>
      <c r="CZ80" s="1">
        <f t="shared" si="490"/>
        <v>0</v>
      </c>
      <c r="DA80" s="1">
        <f t="shared" si="490"/>
        <v>0</v>
      </c>
      <c r="DB80" s="1">
        <f t="shared" si="490"/>
        <v>0</v>
      </c>
      <c r="DC80" s="1">
        <f t="shared" si="490"/>
        <v>0</v>
      </c>
      <c r="DD80" s="1">
        <f t="shared" si="490"/>
        <v>0</v>
      </c>
      <c r="DE80" s="1">
        <f t="shared" si="490"/>
        <v>0</v>
      </c>
      <c r="DF80" s="1">
        <f t="shared" si="490"/>
        <v>0</v>
      </c>
      <c r="DG80" s="1">
        <f t="shared" si="490"/>
        <v>0</v>
      </c>
      <c r="DH80" s="1">
        <f t="shared" si="490"/>
        <v>0</v>
      </c>
      <c r="DI80" s="1">
        <f t="shared" si="490"/>
        <v>0</v>
      </c>
      <c r="DJ80" s="1">
        <f t="shared" si="490"/>
        <v>0</v>
      </c>
      <c r="DK80" s="1">
        <f t="shared" si="490"/>
        <v>0</v>
      </c>
      <c r="DL80" s="1">
        <f t="shared" si="490"/>
        <v>0</v>
      </c>
      <c r="DM80" s="1">
        <f t="shared" si="490"/>
        <v>0</v>
      </c>
      <c r="DN80" s="1">
        <f t="shared" si="490"/>
        <v>0</v>
      </c>
      <c r="DO80" s="1">
        <f t="shared" si="490"/>
        <v>0</v>
      </c>
      <c r="DP80" s="1">
        <f t="shared" si="490"/>
        <v>0</v>
      </c>
      <c r="DQ80" s="1">
        <f t="shared" si="490"/>
        <v>0</v>
      </c>
      <c r="DR80" s="1">
        <f t="shared" si="490"/>
        <v>0</v>
      </c>
      <c r="DS80" s="1">
        <f t="shared" si="490"/>
        <v>0</v>
      </c>
      <c r="DT80" s="1">
        <f t="shared" si="490"/>
        <v>0</v>
      </c>
      <c r="DU80" s="1">
        <f t="shared" si="490"/>
        <v>0</v>
      </c>
      <c r="DV80" s="1">
        <f t="shared" si="490"/>
        <v>0</v>
      </c>
    </row>
    <row r="81" spans="1:126" x14ac:dyDescent="0.25">
      <c r="A81" t="s">
        <v>264</v>
      </c>
      <c r="B81" s="62">
        <f>++IF(Tipologia_Campo="FTTH",Detalle!P971,0)</f>
        <v>0</v>
      </c>
      <c r="C81" s="11"/>
      <c r="D81" s="35"/>
      <c r="E81" s="35">
        <f t="shared" si="488"/>
        <v>56</v>
      </c>
      <c r="F81" s="1">
        <f t="shared" si="491"/>
        <v>0</v>
      </c>
      <c r="G81" s="1">
        <f t="shared" si="489"/>
        <v>0</v>
      </c>
      <c r="H81" s="1">
        <f t="shared" si="489"/>
        <v>0</v>
      </c>
      <c r="I81" s="1">
        <f t="shared" ref="I81:BR85" si="492">+IF($A81="","",IF($D81=I$15,$B81+IF(MONTH($B$8)-MONTH($B$7)+$E$14=H$14,$C81,0),0))</f>
        <v>0</v>
      </c>
      <c r="J81" s="1">
        <f t="shared" si="492"/>
        <v>0</v>
      </c>
      <c r="K81" s="1">
        <f t="shared" si="492"/>
        <v>0</v>
      </c>
      <c r="L81" s="1">
        <f t="shared" si="492"/>
        <v>0</v>
      </c>
      <c r="M81" s="1">
        <f t="shared" si="492"/>
        <v>0</v>
      </c>
      <c r="N81" s="1">
        <f t="shared" si="492"/>
        <v>0</v>
      </c>
      <c r="O81" s="1">
        <f t="shared" si="492"/>
        <v>0</v>
      </c>
      <c r="P81" s="1">
        <f t="shared" si="492"/>
        <v>0</v>
      </c>
      <c r="Q81" s="1">
        <f t="shared" si="492"/>
        <v>0</v>
      </c>
      <c r="R81" s="1">
        <f t="shared" si="492"/>
        <v>0</v>
      </c>
      <c r="S81" s="1">
        <f t="shared" si="492"/>
        <v>0</v>
      </c>
      <c r="T81" s="1">
        <f t="shared" si="492"/>
        <v>0</v>
      </c>
      <c r="U81" s="1">
        <f t="shared" si="492"/>
        <v>0</v>
      </c>
      <c r="V81" s="1">
        <f t="shared" si="492"/>
        <v>0</v>
      </c>
      <c r="W81" s="1">
        <f t="shared" si="492"/>
        <v>0</v>
      </c>
      <c r="X81" s="1">
        <f t="shared" si="492"/>
        <v>0</v>
      </c>
      <c r="Y81" s="1">
        <f t="shared" si="492"/>
        <v>0</v>
      </c>
      <c r="Z81" s="1">
        <f t="shared" si="492"/>
        <v>0</v>
      </c>
      <c r="AA81" s="1">
        <f t="shared" si="492"/>
        <v>0</v>
      </c>
      <c r="AB81" s="1">
        <f t="shared" si="492"/>
        <v>0</v>
      </c>
      <c r="AC81" s="1">
        <f t="shared" si="492"/>
        <v>0</v>
      </c>
      <c r="AD81" s="1">
        <f t="shared" si="492"/>
        <v>0</v>
      </c>
      <c r="AE81" s="1">
        <f t="shared" si="492"/>
        <v>0</v>
      </c>
      <c r="AF81" s="1">
        <f t="shared" si="492"/>
        <v>0</v>
      </c>
      <c r="AG81" s="1">
        <f t="shared" si="492"/>
        <v>0</v>
      </c>
      <c r="AH81" s="1">
        <f t="shared" si="492"/>
        <v>0</v>
      </c>
      <c r="AI81" s="1">
        <f t="shared" si="492"/>
        <v>0</v>
      </c>
      <c r="AJ81" s="1">
        <f t="shared" si="492"/>
        <v>0</v>
      </c>
      <c r="AK81" s="1">
        <f t="shared" si="492"/>
        <v>0</v>
      </c>
      <c r="AL81" s="1">
        <f t="shared" si="492"/>
        <v>0</v>
      </c>
      <c r="AM81" s="1">
        <f t="shared" si="492"/>
        <v>0</v>
      </c>
      <c r="AN81" s="1">
        <f t="shared" si="492"/>
        <v>0</v>
      </c>
      <c r="AO81" s="1">
        <f t="shared" si="492"/>
        <v>0</v>
      </c>
      <c r="AP81" s="1">
        <f t="shared" si="492"/>
        <v>0</v>
      </c>
      <c r="AQ81" s="1">
        <f t="shared" si="492"/>
        <v>0</v>
      </c>
      <c r="AR81" s="1">
        <f t="shared" si="492"/>
        <v>0</v>
      </c>
      <c r="AS81" s="1">
        <f t="shared" si="492"/>
        <v>0</v>
      </c>
      <c r="AT81" s="1">
        <f t="shared" si="492"/>
        <v>0</v>
      </c>
      <c r="AU81" s="1">
        <f t="shared" si="492"/>
        <v>0</v>
      </c>
      <c r="AV81" s="1">
        <f t="shared" si="492"/>
        <v>0</v>
      </c>
      <c r="AW81" s="1">
        <f t="shared" si="492"/>
        <v>0</v>
      </c>
      <c r="AX81" s="1">
        <f t="shared" si="492"/>
        <v>0</v>
      </c>
      <c r="AY81" s="1">
        <f t="shared" si="492"/>
        <v>0</v>
      </c>
      <c r="AZ81" s="1">
        <f t="shared" si="492"/>
        <v>0</v>
      </c>
      <c r="BA81" s="1">
        <f t="shared" si="492"/>
        <v>0</v>
      </c>
      <c r="BB81" s="1">
        <f t="shared" si="492"/>
        <v>0</v>
      </c>
      <c r="BC81" s="1">
        <f t="shared" si="492"/>
        <v>0</v>
      </c>
      <c r="BD81" s="1">
        <f t="shared" si="492"/>
        <v>0</v>
      </c>
      <c r="BE81" s="1">
        <f t="shared" si="492"/>
        <v>0</v>
      </c>
      <c r="BF81" s="1">
        <f t="shared" si="492"/>
        <v>0</v>
      </c>
      <c r="BG81" s="1">
        <f t="shared" si="492"/>
        <v>0</v>
      </c>
      <c r="BH81" s="1">
        <f t="shared" si="492"/>
        <v>0</v>
      </c>
      <c r="BI81" s="1">
        <f t="shared" si="492"/>
        <v>0</v>
      </c>
      <c r="BJ81" s="1">
        <f t="shared" si="492"/>
        <v>0</v>
      </c>
      <c r="BK81" s="1">
        <f t="shared" si="492"/>
        <v>0</v>
      </c>
      <c r="BL81" s="1">
        <f t="shared" si="492"/>
        <v>0</v>
      </c>
      <c r="BM81" s="1">
        <f t="shared" si="492"/>
        <v>0</v>
      </c>
      <c r="BN81" s="1">
        <f t="shared" si="492"/>
        <v>0</v>
      </c>
      <c r="BO81" s="1">
        <f t="shared" si="492"/>
        <v>0</v>
      </c>
      <c r="BP81" s="1">
        <f t="shared" si="492"/>
        <v>0</v>
      </c>
      <c r="BQ81" s="1">
        <f t="shared" si="492"/>
        <v>0</v>
      </c>
      <c r="BR81" s="1">
        <f t="shared" si="492"/>
        <v>0</v>
      </c>
      <c r="BS81" s="1">
        <f t="shared" si="490"/>
        <v>0</v>
      </c>
      <c r="BT81" s="1">
        <f t="shared" si="490"/>
        <v>0</v>
      </c>
      <c r="BU81" s="1">
        <f t="shared" si="490"/>
        <v>0</v>
      </c>
      <c r="BV81" s="1">
        <f t="shared" si="490"/>
        <v>0</v>
      </c>
      <c r="BW81" s="1">
        <f t="shared" si="490"/>
        <v>0</v>
      </c>
      <c r="BX81" s="1">
        <f t="shared" si="490"/>
        <v>0</v>
      </c>
      <c r="BY81" s="1">
        <f t="shared" si="490"/>
        <v>0</v>
      </c>
      <c r="BZ81" s="1">
        <f t="shared" si="490"/>
        <v>0</v>
      </c>
      <c r="CA81" s="1">
        <f t="shared" si="490"/>
        <v>0</v>
      </c>
      <c r="CB81" s="1">
        <f t="shared" si="490"/>
        <v>0</v>
      </c>
      <c r="CC81" s="1">
        <f t="shared" si="490"/>
        <v>0</v>
      </c>
      <c r="CD81" s="1">
        <f t="shared" si="490"/>
        <v>0</v>
      </c>
      <c r="CE81" s="1">
        <f t="shared" si="490"/>
        <v>0</v>
      </c>
      <c r="CF81" s="1">
        <f t="shared" si="490"/>
        <v>0</v>
      </c>
      <c r="CG81" s="1">
        <f t="shared" si="490"/>
        <v>0</v>
      </c>
      <c r="CH81" s="1">
        <f t="shared" si="490"/>
        <v>0</v>
      </c>
      <c r="CI81" s="1">
        <f t="shared" si="490"/>
        <v>0</v>
      </c>
      <c r="CJ81" s="1">
        <f t="shared" si="490"/>
        <v>0</v>
      </c>
      <c r="CK81" s="1">
        <f t="shared" si="490"/>
        <v>0</v>
      </c>
      <c r="CL81" s="1">
        <f t="shared" si="490"/>
        <v>0</v>
      </c>
      <c r="CM81" s="1">
        <f t="shared" si="490"/>
        <v>0</v>
      </c>
      <c r="CN81" s="1">
        <f t="shared" si="490"/>
        <v>0</v>
      </c>
      <c r="CO81" s="1">
        <f t="shared" si="490"/>
        <v>0</v>
      </c>
      <c r="CP81" s="1">
        <f t="shared" si="490"/>
        <v>0</v>
      </c>
      <c r="CQ81" s="1">
        <f t="shared" si="490"/>
        <v>0</v>
      </c>
      <c r="CR81" s="1">
        <f t="shared" si="490"/>
        <v>0</v>
      </c>
      <c r="CS81" s="1">
        <f t="shared" si="490"/>
        <v>0</v>
      </c>
      <c r="CT81" s="1">
        <f t="shared" ref="BS81:DV86" si="493">+IF($A81="","",IF($D81=CT$15,$B81+IF(MONTH($B$8)-MONTH($B$7)+$E$14=CS$14,$C81,0),0))</f>
        <v>0</v>
      </c>
      <c r="CU81" s="1">
        <f t="shared" si="493"/>
        <v>0</v>
      </c>
      <c r="CV81" s="1">
        <f t="shared" si="493"/>
        <v>0</v>
      </c>
      <c r="CW81" s="1">
        <f t="shared" si="493"/>
        <v>0</v>
      </c>
      <c r="CX81" s="1">
        <f t="shared" si="493"/>
        <v>0</v>
      </c>
      <c r="CY81" s="1">
        <f t="shared" si="493"/>
        <v>0</v>
      </c>
      <c r="CZ81" s="1">
        <f t="shared" si="493"/>
        <v>0</v>
      </c>
      <c r="DA81" s="1">
        <f t="shared" si="493"/>
        <v>0</v>
      </c>
      <c r="DB81" s="1">
        <f t="shared" si="493"/>
        <v>0</v>
      </c>
      <c r="DC81" s="1">
        <f t="shared" si="493"/>
        <v>0</v>
      </c>
      <c r="DD81" s="1">
        <f t="shared" si="493"/>
        <v>0</v>
      </c>
      <c r="DE81" s="1">
        <f t="shared" si="493"/>
        <v>0</v>
      </c>
      <c r="DF81" s="1">
        <f t="shared" si="493"/>
        <v>0</v>
      </c>
      <c r="DG81" s="1">
        <f t="shared" si="493"/>
        <v>0</v>
      </c>
      <c r="DH81" s="1">
        <f t="shared" si="493"/>
        <v>0</v>
      </c>
      <c r="DI81" s="1">
        <f t="shared" si="493"/>
        <v>0</v>
      </c>
      <c r="DJ81" s="1">
        <f t="shared" si="493"/>
        <v>0</v>
      </c>
      <c r="DK81" s="1">
        <f t="shared" si="493"/>
        <v>0</v>
      </c>
      <c r="DL81" s="1">
        <f t="shared" si="493"/>
        <v>0</v>
      </c>
      <c r="DM81" s="1">
        <f t="shared" si="493"/>
        <v>0</v>
      </c>
      <c r="DN81" s="1">
        <f t="shared" si="493"/>
        <v>0</v>
      </c>
      <c r="DO81" s="1">
        <f t="shared" si="493"/>
        <v>0</v>
      </c>
      <c r="DP81" s="1">
        <f t="shared" si="493"/>
        <v>0</v>
      </c>
      <c r="DQ81" s="1">
        <f t="shared" si="493"/>
        <v>0</v>
      </c>
      <c r="DR81" s="1">
        <f t="shared" si="493"/>
        <v>0</v>
      </c>
      <c r="DS81" s="1">
        <f t="shared" si="493"/>
        <v>0</v>
      </c>
      <c r="DT81" s="1">
        <f t="shared" si="493"/>
        <v>0</v>
      </c>
      <c r="DU81" s="1">
        <f t="shared" si="493"/>
        <v>0</v>
      </c>
      <c r="DV81" s="1">
        <f t="shared" si="493"/>
        <v>0</v>
      </c>
    </row>
    <row r="82" spans="1:126" x14ac:dyDescent="0.25">
      <c r="A82" t="s">
        <v>265</v>
      </c>
      <c r="B82" s="62">
        <f>++IF(Tipologia_Campo="FTTH",Detalle!P972,0)</f>
        <v>0</v>
      </c>
      <c r="C82" s="11"/>
      <c r="D82" s="35"/>
      <c r="E82" s="35">
        <f t="shared" si="488"/>
        <v>56</v>
      </c>
      <c r="F82" s="1">
        <f t="shared" si="491"/>
        <v>0</v>
      </c>
      <c r="G82" s="1">
        <f t="shared" si="491"/>
        <v>0</v>
      </c>
      <c r="H82" s="1">
        <f t="shared" si="491"/>
        <v>0</v>
      </c>
      <c r="I82" s="1">
        <f t="shared" si="491"/>
        <v>0</v>
      </c>
      <c r="J82" s="1">
        <f t="shared" si="491"/>
        <v>0</v>
      </c>
      <c r="K82" s="1">
        <f t="shared" si="491"/>
        <v>0</v>
      </c>
      <c r="L82" s="1">
        <f t="shared" si="491"/>
        <v>0</v>
      </c>
      <c r="M82" s="1">
        <f t="shared" si="491"/>
        <v>0</v>
      </c>
      <c r="N82" s="1">
        <f t="shared" si="491"/>
        <v>0</v>
      </c>
      <c r="O82" s="1">
        <f t="shared" si="491"/>
        <v>0</v>
      </c>
      <c r="P82" s="1">
        <f t="shared" si="491"/>
        <v>0</v>
      </c>
      <c r="Q82" s="1">
        <f t="shared" si="491"/>
        <v>0</v>
      </c>
      <c r="R82" s="1">
        <f t="shared" si="491"/>
        <v>0</v>
      </c>
      <c r="S82" s="1">
        <f t="shared" si="491"/>
        <v>0</v>
      </c>
      <c r="T82" s="1">
        <f t="shared" si="491"/>
        <v>0</v>
      </c>
      <c r="U82" s="1">
        <f t="shared" si="491"/>
        <v>0</v>
      </c>
      <c r="V82" s="1">
        <f t="shared" si="492"/>
        <v>0</v>
      </c>
      <c r="W82" s="1">
        <f t="shared" si="492"/>
        <v>0</v>
      </c>
      <c r="X82" s="1">
        <f t="shared" si="492"/>
        <v>0</v>
      </c>
      <c r="Y82" s="1">
        <f t="shared" si="492"/>
        <v>0</v>
      </c>
      <c r="Z82" s="1">
        <f t="shared" si="492"/>
        <v>0</v>
      </c>
      <c r="AA82" s="1">
        <f t="shared" si="492"/>
        <v>0</v>
      </c>
      <c r="AB82" s="1">
        <f t="shared" si="492"/>
        <v>0</v>
      </c>
      <c r="AC82" s="1">
        <f t="shared" si="492"/>
        <v>0</v>
      </c>
      <c r="AD82" s="1">
        <f t="shared" si="492"/>
        <v>0</v>
      </c>
      <c r="AE82" s="1">
        <f t="shared" si="492"/>
        <v>0</v>
      </c>
      <c r="AF82" s="1">
        <f t="shared" si="492"/>
        <v>0</v>
      </c>
      <c r="AG82" s="1">
        <f t="shared" si="492"/>
        <v>0</v>
      </c>
      <c r="AH82" s="1">
        <f t="shared" si="492"/>
        <v>0</v>
      </c>
      <c r="AI82" s="1">
        <f t="shared" si="492"/>
        <v>0</v>
      </c>
      <c r="AJ82" s="1">
        <f t="shared" si="492"/>
        <v>0</v>
      </c>
      <c r="AK82" s="1">
        <f t="shared" si="492"/>
        <v>0</v>
      </c>
      <c r="AL82" s="1">
        <f t="shared" si="492"/>
        <v>0</v>
      </c>
      <c r="AM82" s="1">
        <f t="shared" si="492"/>
        <v>0</v>
      </c>
      <c r="AN82" s="1">
        <f t="shared" si="492"/>
        <v>0</v>
      </c>
      <c r="AO82" s="1">
        <f t="shared" si="492"/>
        <v>0</v>
      </c>
      <c r="AP82" s="1">
        <f t="shared" si="492"/>
        <v>0</v>
      </c>
      <c r="AQ82" s="1">
        <f t="shared" si="492"/>
        <v>0</v>
      </c>
      <c r="AR82" s="1">
        <f t="shared" si="492"/>
        <v>0</v>
      </c>
      <c r="AS82" s="1">
        <f t="shared" si="492"/>
        <v>0</v>
      </c>
      <c r="AT82" s="1">
        <f t="shared" si="492"/>
        <v>0</v>
      </c>
      <c r="AU82" s="1">
        <f t="shared" si="492"/>
        <v>0</v>
      </c>
      <c r="AV82" s="1">
        <f t="shared" si="492"/>
        <v>0</v>
      </c>
      <c r="AW82" s="1">
        <f t="shared" si="492"/>
        <v>0</v>
      </c>
      <c r="AX82" s="1">
        <f t="shared" si="492"/>
        <v>0</v>
      </c>
      <c r="AY82" s="1">
        <f t="shared" si="492"/>
        <v>0</v>
      </c>
      <c r="AZ82" s="1">
        <f t="shared" si="492"/>
        <v>0</v>
      </c>
      <c r="BA82" s="1">
        <f t="shared" si="492"/>
        <v>0</v>
      </c>
      <c r="BB82" s="1">
        <f t="shared" si="492"/>
        <v>0</v>
      </c>
      <c r="BC82" s="1">
        <f t="shared" si="492"/>
        <v>0</v>
      </c>
      <c r="BD82" s="1">
        <f t="shared" si="492"/>
        <v>0</v>
      </c>
      <c r="BE82" s="1">
        <f t="shared" si="492"/>
        <v>0</v>
      </c>
      <c r="BF82" s="1">
        <f t="shared" si="492"/>
        <v>0</v>
      </c>
      <c r="BG82" s="1">
        <f t="shared" si="492"/>
        <v>0</v>
      </c>
      <c r="BH82" s="1">
        <f t="shared" si="492"/>
        <v>0</v>
      </c>
      <c r="BI82" s="1">
        <f t="shared" si="492"/>
        <v>0</v>
      </c>
      <c r="BJ82" s="1">
        <f t="shared" si="492"/>
        <v>0</v>
      </c>
      <c r="BK82" s="1">
        <f t="shared" si="492"/>
        <v>0</v>
      </c>
      <c r="BL82" s="1">
        <f t="shared" si="492"/>
        <v>0</v>
      </c>
      <c r="BM82" s="1">
        <f t="shared" si="492"/>
        <v>0</v>
      </c>
      <c r="BN82" s="1">
        <f t="shared" si="492"/>
        <v>0</v>
      </c>
      <c r="BO82" s="1">
        <f t="shared" si="492"/>
        <v>0</v>
      </c>
      <c r="BP82" s="1">
        <f t="shared" si="492"/>
        <v>0</v>
      </c>
      <c r="BQ82" s="1">
        <f t="shared" si="492"/>
        <v>0</v>
      </c>
      <c r="BR82" s="1">
        <f t="shared" si="492"/>
        <v>0</v>
      </c>
      <c r="BS82" s="1">
        <f t="shared" si="493"/>
        <v>0</v>
      </c>
      <c r="BT82" s="1">
        <f t="shared" si="493"/>
        <v>0</v>
      </c>
      <c r="BU82" s="1">
        <f t="shared" si="493"/>
        <v>0</v>
      </c>
      <c r="BV82" s="1">
        <f t="shared" si="493"/>
        <v>0</v>
      </c>
      <c r="BW82" s="1">
        <f t="shared" si="493"/>
        <v>0</v>
      </c>
      <c r="BX82" s="1">
        <f t="shared" si="493"/>
        <v>0</v>
      </c>
      <c r="BY82" s="1">
        <f t="shared" si="493"/>
        <v>0</v>
      </c>
      <c r="BZ82" s="1">
        <f t="shared" si="493"/>
        <v>0</v>
      </c>
      <c r="CA82" s="1">
        <f t="shared" si="493"/>
        <v>0</v>
      </c>
      <c r="CB82" s="1">
        <f t="shared" si="493"/>
        <v>0</v>
      </c>
      <c r="CC82" s="1">
        <f t="shared" si="493"/>
        <v>0</v>
      </c>
      <c r="CD82" s="1">
        <f t="shared" si="493"/>
        <v>0</v>
      </c>
      <c r="CE82" s="1">
        <f t="shared" si="493"/>
        <v>0</v>
      </c>
      <c r="CF82" s="1">
        <f t="shared" si="493"/>
        <v>0</v>
      </c>
      <c r="CG82" s="1">
        <f t="shared" si="493"/>
        <v>0</v>
      </c>
      <c r="CH82" s="1">
        <f t="shared" si="493"/>
        <v>0</v>
      </c>
      <c r="CI82" s="1">
        <f t="shared" si="493"/>
        <v>0</v>
      </c>
      <c r="CJ82" s="1">
        <f t="shared" si="493"/>
        <v>0</v>
      </c>
      <c r="CK82" s="1">
        <f t="shared" si="493"/>
        <v>0</v>
      </c>
      <c r="CL82" s="1">
        <f t="shared" si="493"/>
        <v>0</v>
      </c>
      <c r="CM82" s="1">
        <f t="shared" si="493"/>
        <v>0</v>
      </c>
      <c r="CN82" s="1">
        <f t="shared" si="493"/>
        <v>0</v>
      </c>
      <c r="CO82" s="1">
        <f t="shared" si="493"/>
        <v>0</v>
      </c>
      <c r="CP82" s="1">
        <f t="shared" si="493"/>
        <v>0</v>
      </c>
      <c r="CQ82" s="1">
        <f t="shared" si="493"/>
        <v>0</v>
      </c>
      <c r="CR82" s="1">
        <f t="shared" si="493"/>
        <v>0</v>
      </c>
      <c r="CS82" s="1">
        <f t="shared" si="493"/>
        <v>0</v>
      </c>
      <c r="CT82" s="1">
        <f t="shared" si="493"/>
        <v>0</v>
      </c>
      <c r="CU82" s="1">
        <f t="shared" si="493"/>
        <v>0</v>
      </c>
      <c r="CV82" s="1">
        <f t="shared" si="493"/>
        <v>0</v>
      </c>
      <c r="CW82" s="1">
        <f t="shared" si="493"/>
        <v>0</v>
      </c>
      <c r="CX82" s="1">
        <f t="shared" si="493"/>
        <v>0</v>
      </c>
      <c r="CY82" s="1">
        <f t="shared" si="493"/>
        <v>0</v>
      </c>
      <c r="CZ82" s="1">
        <f t="shared" si="493"/>
        <v>0</v>
      </c>
      <c r="DA82" s="1">
        <f t="shared" si="493"/>
        <v>0</v>
      </c>
      <c r="DB82" s="1">
        <f t="shared" si="493"/>
        <v>0</v>
      </c>
      <c r="DC82" s="1">
        <f t="shared" si="493"/>
        <v>0</v>
      </c>
      <c r="DD82" s="1">
        <f t="shared" si="493"/>
        <v>0</v>
      </c>
      <c r="DE82" s="1">
        <f t="shared" si="493"/>
        <v>0</v>
      </c>
      <c r="DF82" s="1">
        <f t="shared" si="493"/>
        <v>0</v>
      </c>
      <c r="DG82" s="1">
        <f t="shared" si="493"/>
        <v>0</v>
      </c>
      <c r="DH82" s="1">
        <f t="shared" si="493"/>
        <v>0</v>
      </c>
      <c r="DI82" s="1">
        <f t="shared" si="493"/>
        <v>0</v>
      </c>
      <c r="DJ82" s="1">
        <f t="shared" si="493"/>
        <v>0</v>
      </c>
      <c r="DK82" s="1">
        <f t="shared" si="493"/>
        <v>0</v>
      </c>
      <c r="DL82" s="1">
        <f t="shared" si="493"/>
        <v>0</v>
      </c>
      <c r="DM82" s="1">
        <f t="shared" si="493"/>
        <v>0</v>
      </c>
      <c r="DN82" s="1">
        <f t="shared" si="493"/>
        <v>0</v>
      </c>
      <c r="DO82" s="1">
        <f t="shared" si="493"/>
        <v>0</v>
      </c>
      <c r="DP82" s="1">
        <f t="shared" si="493"/>
        <v>0</v>
      </c>
      <c r="DQ82" s="1">
        <f t="shared" si="493"/>
        <v>0</v>
      </c>
      <c r="DR82" s="1">
        <f t="shared" si="493"/>
        <v>0</v>
      </c>
      <c r="DS82" s="1">
        <f t="shared" si="493"/>
        <v>0</v>
      </c>
      <c r="DT82" s="1">
        <f t="shared" si="493"/>
        <v>0</v>
      </c>
      <c r="DU82" s="1">
        <f t="shared" si="493"/>
        <v>0</v>
      </c>
      <c r="DV82" s="1">
        <f t="shared" si="493"/>
        <v>0</v>
      </c>
    </row>
    <row r="83" spans="1:126" x14ac:dyDescent="0.25">
      <c r="A83" t="s">
        <v>266</v>
      </c>
      <c r="B83" s="62">
        <f>++IF(Tipologia_Campo="FTTH",Detalle!P973,0)</f>
        <v>0</v>
      </c>
      <c r="C83" s="11"/>
      <c r="D83" s="35"/>
      <c r="E83" s="35">
        <f t="shared" si="488"/>
        <v>56</v>
      </c>
      <c r="F83" s="1">
        <f t="shared" ref="F83:F86" si="494">+IF($A83="","",IF($D83=F$15,$B83+IF(MONTH($B$8)-MONTH($B$7)+$E$14=E$14,$C83,0),0))</f>
        <v>0</v>
      </c>
      <c r="G83" s="1">
        <f t="shared" si="491"/>
        <v>0</v>
      </c>
      <c r="H83" s="1">
        <f t="shared" si="491"/>
        <v>0</v>
      </c>
      <c r="I83" s="1">
        <f t="shared" si="491"/>
        <v>0</v>
      </c>
      <c r="J83" s="1">
        <f t="shared" si="491"/>
        <v>0</v>
      </c>
      <c r="K83" s="1">
        <f t="shared" si="491"/>
        <v>0</v>
      </c>
      <c r="L83" s="1">
        <f t="shared" si="491"/>
        <v>0</v>
      </c>
      <c r="M83" s="1">
        <f t="shared" si="491"/>
        <v>0</v>
      </c>
      <c r="N83" s="1">
        <f t="shared" si="491"/>
        <v>0</v>
      </c>
      <c r="O83" s="1">
        <f t="shared" si="491"/>
        <v>0</v>
      </c>
      <c r="P83" s="1">
        <f t="shared" si="491"/>
        <v>0</v>
      </c>
      <c r="Q83" s="1">
        <f t="shared" si="491"/>
        <v>0</v>
      </c>
      <c r="R83" s="1">
        <f t="shared" si="491"/>
        <v>0</v>
      </c>
      <c r="S83" s="1">
        <f t="shared" si="491"/>
        <v>0</v>
      </c>
      <c r="T83" s="1">
        <f t="shared" si="491"/>
        <v>0</v>
      </c>
      <c r="U83" s="1">
        <f t="shared" si="491"/>
        <v>0</v>
      </c>
      <c r="V83" s="1">
        <f t="shared" si="492"/>
        <v>0</v>
      </c>
      <c r="W83" s="1">
        <f t="shared" si="492"/>
        <v>0</v>
      </c>
      <c r="X83" s="1">
        <f t="shared" si="492"/>
        <v>0</v>
      </c>
      <c r="Y83" s="1">
        <f t="shared" si="492"/>
        <v>0</v>
      </c>
      <c r="Z83" s="1">
        <f t="shared" si="492"/>
        <v>0</v>
      </c>
      <c r="AA83" s="1">
        <f t="shared" si="492"/>
        <v>0</v>
      </c>
      <c r="AB83" s="1">
        <f t="shared" si="492"/>
        <v>0</v>
      </c>
      <c r="AC83" s="1">
        <f t="shared" si="492"/>
        <v>0</v>
      </c>
      <c r="AD83" s="1">
        <f t="shared" si="492"/>
        <v>0</v>
      </c>
      <c r="AE83" s="1">
        <f t="shared" si="492"/>
        <v>0</v>
      </c>
      <c r="AF83" s="1">
        <f t="shared" si="492"/>
        <v>0</v>
      </c>
      <c r="AG83" s="1">
        <f t="shared" si="492"/>
        <v>0</v>
      </c>
      <c r="AH83" s="1">
        <f t="shared" si="492"/>
        <v>0</v>
      </c>
      <c r="AI83" s="1">
        <f t="shared" si="492"/>
        <v>0</v>
      </c>
      <c r="AJ83" s="1">
        <f t="shared" si="492"/>
        <v>0</v>
      </c>
      <c r="AK83" s="1">
        <f t="shared" si="492"/>
        <v>0</v>
      </c>
      <c r="AL83" s="1">
        <f t="shared" si="492"/>
        <v>0</v>
      </c>
      <c r="AM83" s="1">
        <f t="shared" si="492"/>
        <v>0</v>
      </c>
      <c r="AN83" s="1">
        <f t="shared" si="492"/>
        <v>0</v>
      </c>
      <c r="AO83" s="1">
        <f t="shared" si="492"/>
        <v>0</v>
      </c>
      <c r="AP83" s="1">
        <f t="shared" si="492"/>
        <v>0</v>
      </c>
      <c r="AQ83" s="1">
        <f t="shared" si="492"/>
        <v>0</v>
      </c>
      <c r="AR83" s="1">
        <f t="shared" si="492"/>
        <v>0</v>
      </c>
      <c r="AS83" s="1">
        <f t="shared" si="492"/>
        <v>0</v>
      </c>
      <c r="AT83" s="1">
        <f t="shared" si="492"/>
        <v>0</v>
      </c>
      <c r="AU83" s="1">
        <f t="shared" si="492"/>
        <v>0</v>
      </c>
      <c r="AV83" s="1">
        <f t="shared" si="492"/>
        <v>0</v>
      </c>
      <c r="AW83" s="1">
        <f t="shared" si="492"/>
        <v>0</v>
      </c>
      <c r="AX83" s="1">
        <f t="shared" si="492"/>
        <v>0</v>
      </c>
      <c r="AY83" s="1">
        <f t="shared" si="492"/>
        <v>0</v>
      </c>
      <c r="AZ83" s="1">
        <f t="shared" si="492"/>
        <v>0</v>
      </c>
      <c r="BA83" s="1">
        <f t="shared" si="492"/>
        <v>0</v>
      </c>
      <c r="BB83" s="1">
        <f t="shared" si="492"/>
        <v>0</v>
      </c>
      <c r="BC83" s="1">
        <f t="shared" si="492"/>
        <v>0</v>
      </c>
      <c r="BD83" s="1">
        <f t="shared" si="492"/>
        <v>0</v>
      </c>
      <c r="BE83" s="1">
        <f t="shared" si="492"/>
        <v>0</v>
      </c>
      <c r="BF83" s="1">
        <f t="shared" si="492"/>
        <v>0</v>
      </c>
      <c r="BG83" s="1">
        <f t="shared" si="492"/>
        <v>0</v>
      </c>
      <c r="BH83" s="1">
        <f t="shared" si="492"/>
        <v>0</v>
      </c>
      <c r="BI83" s="1">
        <f t="shared" si="492"/>
        <v>0</v>
      </c>
      <c r="BJ83" s="1">
        <f t="shared" si="492"/>
        <v>0</v>
      </c>
      <c r="BK83" s="1">
        <f t="shared" si="492"/>
        <v>0</v>
      </c>
      <c r="BL83" s="1">
        <f t="shared" si="492"/>
        <v>0</v>
      </c>
      <c r="BM83" s="1">
        <f t="shared" si="492"/>
        <v>0</v>
      </c>
      <c r="BN83" s="1">
        <f t="shared" si="492"/>
        <v>0</v>
      </c>
      <c r="BO83" s="1">
        <f t="shared" si="492"/>
        <v>0</v>
      </c>
      <c r="BP83" s="1">
        <f t="shared" si="492"/>
        <v>0</v>
      </c>
      <c r="BQ83" s="1">
        <f t="shared" si="492"/>
        <v>0</v>
      </c>
      <c r="BR83" s="1">
        <f t="shared" si="492"/>
        <v>0</v>
      </c>
      <c r="BS83" s="1">
        <f t="shared" si="493"/>
        <v>0</v>
      </c>
      <c r="BT83" s="1">
        <f t="shared" si="493"/>
        <v>0</v>
      </c>
      <c r="BU83" s="1">
        <f t="shared" si="493"/>
        <v>0</v>
      </c>
      <c r="BV83" s="1">
        <f t="shared" si="493"/>
        <v>0</v>
      </c>
      <c r="BW83" s="1">
        <f t="shared" si="493"/>
        <v>0</v>
      </c>
      <c r="BX83" s="1">
        <f t="shared" si="493"/>
        <v>0</v>
      </c>
      <c r="BY83" s="1">
        <f t="shared" si="493"/>
        <v>0</v>
      </c>
      <c r="BZ83" s="1">
        <f t="shared" si="493"/>
        <v>0</v>
      </c>
      <c r="CA83" s="1">
        <f t="shared" si="493"/>
        <v>0</v>
      </c>
      <c r="CB83" s="1">
        <f t="shared" si="493"/>
        <v>0</v>
      </c>
      <c r="CC83" s="1">
        <f t="shared" si="493"/>
        <v>0</v>
      </c>
      <c r="CD83" s="1">
        <f t="shared" si="493"/>
        <v>0</v>
      </c>
      <c r="CE83" s="1">
        <f t="shared" si="493"/>
        <v>0</v>
      </c>
      <c r="CF83" s="1">
        <f t="shared" si="493"/>
        <v>0</v>
      </c>
      <c r="CG83" s="1">
        <f t="shared" si="493"/>
        <v>0</v>
      </c>
      <c r="CH83" s="1">
        <f t="shared" si="493"/>
        <v>0</v>
      </c>
      <c r="CI83" s="1">
        <f t="shared" si="493"/>
        <v>0</v>
      </c>
      <c r="CJ83" s="1">
        <f t="shared" si="493"/>
        <v>0</v>
      </c>
      <c r="CK83" s="1">
        <f t="shared" si="493"/>
        <v>0</v>
      </c>
      <c r="CL83" s="1">
        <f t="shared" si="493"/>
        <v>0</v>
      </c>
      <c r="CM83" s="1">
        <f t="shared" si="493"/>
        <v>0</v>
      </c>
      <c r="CN83" s="1">
        <f t="shared" si="493"/>
        <v>0</v>
      </c>
      <c r="CO83" s="1">
        <f t="shared" si="493"/>
        <v>0</v>
      </c>
      <c r="CP83" s="1">
        <f t="shared" si="493"/>
        <v>0</v>
      </c>
      <c r="CQ83" s="1">
        <f t="shared" si="493"/>
        <v>0</v>
      </c>
      <c r="CR83" s="1">
        <f t="shared" si="493"/>
        <v>0</v>
      </c>
      <c r="CS83" s="1">
        <f t="shared" si="493"/>
        <v>0</v>
      </c>
      <c r="CT83" s="1">
        <f t="shared" si="493"/>
        <v>0</v>
      </c>
      <c r="CU83" s="1">
        <f t="shared" si="493"/>
        <v>0</v>
      </c>
      <c r="CV83" s="1">
        <f t="shared" si="493"/>
        <v>0</v>
      </c>
      <c r="CW83" s="1">
        <f t="shared" si="493"/>
        <v>0</v>
      </c>
      <c r="CX83" s="1">
        <f t="shared" si="493"/>
        <v>0</v>
      </c>
      <c r="CY83" s="1">
        <f t="shared" si="493"/>
        <v>0</v>
      </c>
      <c r="CZ83" s="1">
        <f t="shared" si="493"/>
        <v>0</v>
      </c>
      <c r="DA83" s="1">
        <f t="shared" si="493"/>
        <v>0</v>
      </c>
      <c r="DB83" s="1">
        <f t="shared" si="493"/>
        <v>0</v>
      </c>
      <c r="DC83" s="1">
        <f t="shared" si="493"/>
        <v>0</v>
      </c>
      <c r="DD83" s="1">
        <f t="shared" si="493"/>
        <v>0</v>
      </c>
      <c r="DE83" s="1">
        <f t="shared" si="493"/>
        <v>0</v>
      </c>
      <c r="DF83" s="1">
        <f t="shared" si="493"/>
        <v>0</v>
      </c>
      <c r="DG83" s="1">
        <f t="shared" si="493"/>
        <v>0</v>
      </c>
      <c r="DH83" s="1">
        <f t="shared" si="493"/>
        <v>0</v>
      </c>
      <c r="DI83" s="1">
        <f t="shared" si="493"/>
        <v>0</v>
      </c>
      <c r="DJ83" s="1">
        <f t="shared" si="493"/>
        <v>0</v>
      </c>
      <c r="DK83" s="1">
        <f t="shared" si="493"/>
        <v>0</v>
      </c>
      <c r="DL83" s="1">
        <f t="shared" si="493"/>
        <v>0</v>
      </c>
      <c r="DM83" s="1">
        <f t="shared" si="493"/>
        <v>0</v>
      </c>
      <c r="DN83" s="1">
        <f t="shared" si="493"/>
        <v>0</v>
      </c>
      <c r="DO83" s="1">
        <f t="shared" si="493"/>
        <v>0</v>
      </c>
      <c r="DP83" s="1">
        <f t="shared" si="493"/>
        <v>0</v>
      </c>
      <c r="DQ83" s="1">
        <f t="shared" si="493"/>
        <v>0</v>
      </c>
      <c r="DR83" s="1">
        <f t="shared" si="493"/>
        <v>0</v>
      </c>
      <c r="DS83" s="1">
        <f t="shared" si="493"/>
        <v>0</v>
      </c>
      <c r="DT83" s="1">
        <f t="shared" si="493"/>
        <v>0</v>
      </c>
      <c r="DU83" s="1">
        <f t="shared" si="493"/>
        <v>0</v>
      </c>
      <c r="DV83" s="1">
        <f t="shared" si="493"/>
        <v>0</v>
      </c>
    </row>
    <row r="84" spans="1:126" x14ac:dyDescent="0.25">
      <c r="A84" t="s">
        <v>267</v>
      </c>
      <c r="B84" s="62">
        <f>++IF(Tipologia_Campo="FTTH",Detalle!P974,0)</f>
        <v>0</v>
      </c>
      <c r="C84" s="11"/>
      <c r="D84" s="35"/>
      <c r="E84" s="35">
        <f t="shared" si="488"/>
        <v>56</v>
      </c>
      <c r="F84" s="1">
        <f t="shared" si="494"/>
        <v>0</v>
      </c>
      <c r="G84" s="1">
        <f t="shared" si="491"/>
        <v>0</v>
      </c>
      <c r="H84" s="1">
        <f t="shared" si="491"/>
        <v>0</v>
      </c>
      <c r="I84" s="1">
        <f t="shared" si="491"/>
        <v>0</v>
      </c>
      <c r="J84" s="1">
        <f t="shared" si="491"/>
        <v>0</v>
      </c>
      <c r="K84" s="1">
        <f t="shared" si="491"/>
        <v>0</v>
      </c>
      <c r="L84" s="1">
        <f t="shared" si="491"/>
        <v>0</v>
      </c>
      <c r="M84" s="1">
        <f t="shared" si="491"/>
        <v>0</v>
      </c>
      <c r="N84" s="1">
        <f t="shared" si="491"/>
        <v>0</v>
      </c>
      <c r="O84" s="1">
        <f t="shared" si="491"/>
        <v>0</v>
      </c>
      <c r="P84" s="1">
        <f t="shared" si="491"/>
        <v>0</v>
      </c>
      <c r="Q84" s="1">
        <f t="shared" si="491"/>
        <v>0</v>
      </c>
      <c r="R84" s="1">
        <f t="shared" si="491"/>
        <v>0</v>
      </c>
      <c r="S84" s="1">
        <f t="shared" si="491"/>
        <v>0</v>
      </c>
      <c r="T84" s="1">
        <f t="shared" si="491"/>
        <v>0</v>
      </c>
      <c r="U84" s="1">
        <f t="shared" si="491"/>
        <v>0</v>
      </c>
      <c r="V84" s="1">
        <f t="shared" si="492"/>
        <v>0</v>
      </c>
      <c r="W84" s="1">
        <f t="shared" si="492"/>
        <v>0</v>
      </c>
      <c r="X84" s="1">
        <f t="shared" si="492"/>
        <v>0</v>
      </c>
      <c r="Y84" s="1">
        <f t="shared" si="492"/>
        <v>0</v>
      </c>
      <c r="Z84" s="1">
        <f t="shared" si="492"/>
        <v>0</v>
      </c>
      <c r="AA84" s="1">
        <f t="shared" si="492"/>
        <v>0</v>
      </c>
      <c r="AB84" s="1">
        <f t="shared" si="492"/>
        <v>0</v>
      </c>
      <c r="AC84" s="1">
        <f t="shared" si="492"/>
        <v>0</v>
      </c>
      <c r="AD84" s="1">
        <f t="shared" si="492"/>
        <v>0</v>
      </c>
      <c r="AE84" s="1">
        <f t="shared" si="492"/>
        <v>0</v>
      </c>
      <c r="AF84" s="1">
        <f t="shared" si="492"/>
        <v>0</v>
      </c>
      <c r="AG84" s="1">
        <f t="shared" si="492"/>
        <v>0</v>
      </c>
      <c r="AH84" s="1">
        <f t="shared" si="492"/>
        <v>0</v>
      </c>
      <c r="AI84" s="1">
        <f t="shared" si="492"/>
        <v>0</v>
      </c>
      <c r="AJ84" s="1">
        <f t="shared" si="492"/>
        <v>0</v>
      </c>
      <c r="AK84" s="1">
        <f t="shared" si="492"/>
        <v>0</v>
      </c>
      <c r="AL84" s="1">
        <f t="shared" si="492"/>
        <v>0</v>
      </c>
      <c r="AM84" s="1">
        <f t="shared" si="492"/>
        <v>0</v>
      </c>
      <c r="AN84" s="1">
        <f t="shared" si="492"/>
        <v>0</v>
      </c>
      <c r="AO84" s="1">
        <f t="shared" si="492"/>
        <v>0</v>
      </c>
      <c r="AP84" s="1">
        <f t="shared" si="492"/>
        <v>0</v>
      </c>
      <c r="AQ84" s="1">
        <f t="shared" si="492"/>
        <v>0</v>
      </c>
      <c r="AR84" s="1">
        <f t="shared" si="492"/>
        <v>0</v>
      </c>
      <c r="AS84" s="1">
        <f t="shared" si="492"/>
        <v>0</v>
      </c>
      <c r="AT84" s="1">
        <f t="shared" si="492"/>
        <v>0</v>
      </c>
      <c r="AU84" s="1">
        <f t="shared" si="492"/>
        <v>0</v>
      </c>
      <c r="AV84" s="1">
        <f t="shared" si="492"/>
        <v>0</v>
      </c>
      <c r="AW84" s="1">
        <f t="shared" si="492"/>
        <v>0</v>
      </c>
      <c r="AX84" s="1">
        <f t="shared" si="492"/>
        <v>0</v>
      </c>
      <c r="AY84" s="1">
        <f t="shared" si="492"/>
        <v>0</v>
      </c>
      <c r="AZ84" s="1">
        <f t="shared" si="492"/>
        <v>0</v>
      </c>
      <c r="BA84" s="1">
        <f t="shared" si="492"/>
        <v>0</v>
      </c>
      <c r="BB84" s="1">
        <f t="shared" si="492"/>
        <v>0</v>
      </c>
      <c r="BC84" s="1">
        <f t="shared" si="492"/>
        <v>0</v>
      </c>
      <c r="BD84" s="1">
        <f t="shared" si="492"/>
        <v>0</v>
      </c>
      <c r="BE84" s="1">
        <f t="shared" si="492"/>
        <v>0</v>
      </c>
      <c r="BF84" s="1">
        <f t="shared" si="492"/>
        <v>0</v>
      </c>
      <c r="BG84" s="1">
        <f t="shared" si="492"/>
        <v>0</v>
      </c>
      <c r="BH84" s="1">
        <f t="shared" si="492"/>
        <v>0</v>
      </c>
      <c r="BI84" s="1">
        <f t="shared" si="492"/>
        <v>0</v>
      </c>
      <c r="BJ84" s="1">
        <f t="shared" si="492"/>
        <v>0</v>
      </c>
      <c r="BK84" s="1">
        <f t="shared" si="492"/>
        <v>0</v>
      </c>
      <c r="BL84" s="1">
        <f t="shared" si="492"/>
        <v>0</v>
      </c>
      <c r="BM84" s="1">
        <f t="shared" si="492"/>
        <v>0</v>
      </c>
      <c r="BN84" s="1">
        <f t="shared" si="492"/>
        <v>0</v>
      </c>
      <c r="BO84" s="1">
        <f t="shared" si="492"/>
        <v>0</v>
      </c>
      <c r="BP84" s="1">
        <f t="shared" si="492"/>
        <v>0</v>
      </c>
      <c r="BQ84" s="1">
        <f t="shared" si="492"/>
        <v>0</v>
      </c>
      <c r="BR84" s="1">
        <f t="shared" si="492"/>
        <v>0</v>
      </c>
      <c r="BS84" s="1">
        <f t="shared" si="493"/>
        <v>0</v>
      </c>
      <c r="BT84" s="1">
        <f t="shared" si="493"/>
        <v>0</v>
      </c>
      <c r="BU84" s="1">
        <f t="shared" si="493"/>
        <v>0</v>
      </c>
      <c r="BV84" s="1">
        <f t="shared" si="493"/>
        <v>0</v>
      </c>
      <c r="BW84" s="1">
        <f t="shared" si="493"/>
        <v>0</v>
      </c>
      <c r="BX84" s="1">
        <f t="shared" si="493"/>
        <v>0</v>
      </c>
      <c r="BY84" s="1">
        <f t="shared" si="493"/>
        <v>0</v>
      </c>
      <c r="BZ84" s="1">
        <f t="shared" si="493"/>
        <v>0</v>
      </c>
      <c r="CA84" s="1">
        <f t="shared" si="493"/>
        <v>0</v>
      </c>
      <c r="CB84" s="1">
        <f t="shared" si="493"/>
        <v>0</v>
      </c>
      <c r="CC84" s="1">
        <f t="shared" si="493"/>
        <v>0</v>
      </c>
      <c r="CD84" s="1">
        <f t="shared" si="493"/>
        <v>0</v>
      </c>
      <c r="CE84" s="1">
        <f t="shared" si="493"/>
        <v>0</v>
      </c>
      <c r="CF84" s="1">
        <f t="shared" si="493"/>
        <v>0</v>
      </c>
      <c r="CG84" s="1">
        <f t="shared" si="493"/>
        <v>0</v>
      </c>
      <c r="CH84" s="1">
        <f t="shared" si="493"/>
        <v>0</v>
      </c>
      <c r="CI84" s="1">
        <f t="shared" si="493"/>
        <v>0</v>
      </c>
      <c r="CJ84" s="1">
        <f t="shared" si="493"/>
        <v>0</v>
      </c>
      <c r="CK84" s="1">
        <f t="shared" si="493"/>
        <v>0</v>
      </c>
      <c r="CL84" s="1">
        <f t="shared" si="493"/>
        <v>0</v>
      </c>
      <c r="CM84" s="1">
        <f t="shared" si="493"/>
        <v>0</v>
      </c>
      <c r="CN84" s="1">
        <f t="shared" si="493"/>
        <v>0</v>
      </c>
      <c r="CO84" s="1">
        <f t="shared" si="493"/>
        <v>0</v>
      </c>
      <c r="CP84" s="1">
        <f t="shared" si="493"/>
        <v>0</v>
      </c>
      <c r="CQ84" s="1">
        <f t="shared" si="493"/>
        <v>0</v>
      </c>
      <c r="CR84" s="1">
        <f t="shared" si="493"/>
        <v>0</v>
      </c>
      <c r="CS84" s="1">
        <f t="shared" si="493"/>
        <v>0</v>
      </c>
      <c r="CT84" s="1">
        <f t="shared" si="493"/>
        <v>0</v>
      </c>
      <c r="CU84" s="1">
        <f t="shared" si="493"/>
        <v>0</v>
      </c>
      <c r="CV84" s="1">
        <f t="shared" si="493"/>
        <v>0</v>
      </c>
      <c r="CW84" s="1">
        <f t="shared" si="493"/>
        <v>0</v>
      </c>
      <c r="CX84" s="1">
        <f t="shared" si="493"/>
        <v>0</v>
      </c>
      <c r="CY84" s="1">
        <f t="shared" si="493"/>
        <v>0</v>
      </c>
      <c r="CZ84" s="1">
        <f t="shared" si="493"/>
        <v>0</v>
      </c>
      <c r="DA84" s="1">
        <f t="shared" si="493"/>
        <v>0</v>
      </c>
      <c r="DB84" s="1">
        <f t="shared" si="493"/>
        <v>0</v>
      </c>
      <c r="DC84" s="1">
        <f t="shared" si="493"/>
        <v>0</v>
      </c>
      <c r="DD84" s="1">
        <f t="shared" si="493"/>
        <v>0</v>
      </c>
      <c r="DE84" s="1">
        <f t="shared" si="493"/>
        <v>0</v>
      </c>
      <c r="DF84" s="1">
        <f t="shared" si="493"/>
        <v>0</v>
      </c>
      <c r="DG84" s="1">
        <f t="shared" si="493"/>
        <v>0</v>
      </c>
      <c r="DH84" s="1">
        <f t="shared" si="493"/>
        <v>0</v>
      </c>
      <c r="DI84" s="1">
        <f t="shared" si="493"/>
        <v>0</v>
      </c>
      <c r="DJ84" s="1">
        <f t="shared" si="493"/>
        <v>0</v>
      </c>
      <c r="DK84" s="1">
        <f t="shared" si="493"/>
        <v>0</v>
      </c>
      <c r="DL84" s="1">
        <f t="shared" si="493"/>
        <v>0</v>
      </c>
      <c r="DM84" s="1">
        <f t="shared" si="493"/>
        <v>0</v>
      </c>
      <c r="DN84" s="1">
        <f t="shared" si="493"/>
        <v>0</v>
      </c>
      <c r="DO84" s="1">
        <f t="shared" si="493"/>
        <v>0</v>
      </c>
      <c r="DP84" s="1">
        <f t="shared" si="493"/>
        <v>0</v>
      </c>
      <c r="DQ84" s="1">
        <f t="shared" si="493"/>
        <v>0</v>
      </c>
      <c r="DR84" s="1">
        <f t="shared" si="493"/>
        <v>0</v>
      </c>
      <c r="DS84" s="1">
        <f t="shared" si="493"/>
        <v>0</v>
      </c>
      <c r="DT84" s="1">
        <f t="shared" si="493"/>
        <v>0</v>
      </c>
      <c r="DU84" s="1">
        <f t="shared" si="493"/>
        <v>0</v>
      </c>
      <c r="DV84" s="1">
        <f t="shared" si="493"/>
        <v>0</v>
      </c>
    </row>
    <row r="85" spans="1:126" x14ac:dyDescent="0.25">
      <c r="A85" t="s">
        <v>112</v>
      </c>
      <c r="B85" s="62">
        <f>++IF(Tipologia_Campo="FTTH",Detalle!P975,0)</f>
        <v>0</v>
      </c>
      <c r="C85" s="11"/>
      <c r="D85" s="35"/>
      <c r="E85" s="35">
        <f t="shared" si="488"/>
        <v>56</v>
      </c>
      <c r="F85" s="1">
        <f t="shared" si="494"/>
        <v>0</v>
      </c>
      <c r="G85" s="1">
        <f t="shared" si="491"/>
        <v>0</v>
      </c>
      <c r="H85" s="1">
        <f t="shared" si="491"/>
        <v>0</v>
      </c>
      <c r="I85" s="1">
        <f t="shared" si="491"/>
        <v>0</v>
      </c>
      <c r="J85" s="1">
        <f t="shared" si="491"/>
        <v>0</v>
      </c>
      <c r="K85" s="1">
        <f t="shared" si="491"/>
        <v>0</v>
      </c>
      <c r="L85" s="1">
        <f t="shared" si="491"/>
        <v>0</v>
      </c>
      <c r="M85" s="1">
        <f t="shared" si="491"/>
        <v>0</v>
      </c>
      <c r="N85" s="1">
        <f t="shared" si="491"/>
        <v>0</v>
      </c>
      <c r="O85" s="1">
        <f t="shared" si="491"/>
        <v>0</v>
      </c>
      <c r="P85" s="1">
        <f t="shared" si="491"/>
        <v>0</v>
      </c>
      <c r="Q85" s="1">
        <f t="shared" si="491"/>
        <v>0</v>
      </c>
      <c r="R85" s="1">
        <f t="shared" si="491"/>
        <v>0</v>
      </c>
      <c r="S85" s="1">
        <f t="shared" si="491"/>
        <v>0</v>
      </c>
      <c r="T85" s="1">
        <f t="shared" si="491"/>
        <v>0</v>
      </c>
      <c r="U85" s="1">
        <f t="shared" si="491"/>
        <v>0</v>
      </c>
      <c r="V85" s="1">
        <f t="shared" si="492"/>
        <v>0</v>
      </c>
      <c r="W85" s="1">
        <f t="shared" si="492"/>
        <v>0</v>
      </c>
      <c r="X85" s="1">
        <f t="shared" si="492"/>
        <v>0</v>
      </c>
      <c r="Y85" s="1">
        <f t="shared" si="492"/>
        <v>0</v>
      </c>
      <c r="Z85" s="1">
        <f t="shared" si="492"/>
        <v>0</v>
      </c>
      <c r="AA85" s="1">
        <f t="shared" si="492"/>
        <v>0</v>
      </c>
      <c r="AB85" s="1">
        <f t="shared" si="492"/>
        <v>0</v>
      </c>
      <c r="AC85" s="1">
        <f t="shared" si="492"/>
        <v>0</v>
      </c>
      <c r="AD85" s="1">
        <f t="shared" si="492"/>
        <v>0</v>
      </c>
      <c r="AE85" s="1">
        <f t="shared" si="492"/>
        <v>0</v>
      </c>
      <c r="AF85" s="1">
        <f t="shared" si="492"/>
        <v>0</v>
      </c>
      <c r="AG85" s="1">
        <f t="shared" si="492"/>
        <v>0</v>
      </c>
      <c r="AH85" s="1">
        <f t="shared" si="492"/>
        <v>0</v>
      </c>
      <c r="AI85" s="1">
        <f t="shared" si="492"/>
        <v>0</v>
      </c>
      <c r="AJ85" s="1">
        <f t="shared" si="492"/>
        <v>0</v>
      </c>
      <c r="AK85" s="1">
        <f t="shared" si="492"/>
        <v>0</v>
      </c>
      <c r="AL85" s="1">
        <f t="shared" si="492"/>
        <v>0</v>
      </c>
      <c r="AM85" s="1">
        <f t="shared" si="492"/>
        <v>0</v>
      </c>
      <c r="AN85" s="1">
        <f t="shared" si="492"/>
        <v>0</v>
      </c>
      <c r="AO85" s="1">
        <f t="shared" si="492"/>
        <v>0</v>
      </c>
      <c r="AP85" s="1">
        <f t="shared" si="492"/>
        <v>0</v>
      </c>
      <c r="AQ85" s="1">
        <f t="shared" si="492"/>
        <v>0</v>
      </c>
      <c r="AR85" s="1">
        <f t="shared" si="492"/>
        <v>0</v>
      </c>
      <c r="AS85" s="1">
        <f t="shared" si="492"/>
        <v>0</v>
      </c>
      <c r="AT85" s="1">
        <f t="shared" si="492"/>
        <v>0</v>
      </c>
      <c r="AU85" s="1">
        <f t="shared" si="492"/>
        <v>0</v>
      </c>
      <c r="AV85" s="1">
        <f t="shared" si="492"/>
        <v>0</v>
      </c>
      <c r="AW85" s="1">
        <f t="shared" si="492"/>
        <v>0</v>
      </c>
      <c r="AX85" s="1">
        <f t="shared" si="492"/>
        <v>0</v>
      </c>
      <c r="AY85" s="1">
        <f t="shared" si="492"/>
        <v>0</v>
      </c>
      <c r="AZ85" s="1">
        <f t="shared" si="492"/>
        <v>0</v>
      </c>
      <c r="BA85" s="1">
        <f t="shared" si="492"/>
        <v>0</v>
      </c>
      <c r="BB85" s="1">
        <f t="shared" si="492"/>
        <v>0</v>
      </c>
      <c r="BC85" s="1">
        <f t="shared" si="492"/>
        <v>0</v>
      </c>
      <c r="BD85" s="1">
        <f t="shared" si="492"/>
        <v>0</v>
      </c>
      <c r="BE85" s="1">
        <f t="shared" si="492"/>
        <v>0</v>
      </c>
      <c r="BF85" s="1">
        <f t="shared" si="492"/>
        <v>0</v>
      </c>
      <c r="BG85" s="1">
        <f t="shared" si="492"/>
        <v>0</v>
      </c>
      <c r="BH85" s="1">
        <f t="shared" si="492"/>
        <v>0</v>
      </c>
      <c r="BI85" s="1">
        <f t="shared" si="492"/>
        <v>0</v>
      </c>
      <c r="BJ85" s="1">
        <f t="shared" si="492"/>
        <v>0</v>
      </c>
      <c r="BK85" s="1">
        <f t="shared" si="492"/>
        <v>0</v>
      </c>
      <c r="BL85" s="1">
        <f t="shared" si="492"/>
        <v>0</v>
      </c>
      <c r="BM85" s="1">
        <f t="shared" si="492"/>
        <v>0</v>
      </c>
      <c r="BN85" s="1">
        <f t="shared" si="492"/>
        <v>0</v>
      </c>
      <c r="BO85" s="1">
        <f t="shared" si="492"/>
        <v>0</v>
      </c>
      <c r="BP85" s="1">
        <f t="shared" ref="BP85:BR85" si="495">+IF($A85="","",IF($D85=BP$15,$B85+IF(MONTH($B$8)-MONTH($B$7)+$E$14=BO$14,$C85,0),0))</f>
        <v>0</v>
      </c>
      <c r="BQ85" s="1">
        <f t="shared" si="495"/>
        <v>0</v>
      </c>
      <c r="BR85" s="1">
        <f t="shared" si="495"/>
        <v>0</v>
      </c>
      <c r="BS85" s="1">
        <f t="shared" si="493"/>
        <v>0</v>
      </c>
      <c r="BT85" s="1">
        <f t="shared" si="493"/>
        <v>0</v>
      </c>
      <c r="BU85" s="1">
        <f t="shared" si="493"/>
        <v>0</v>
      </c>
      <c r="BV85" s="1">
        <f t="shared" si="493"/>
        <v>0</v>
      </c>
      <c r="BW85" s="1">
        <f t="shared" si="493"/>
        <v>0</v>
      </c>
      <c r="BX85" s="1">
        <f t="shared" si="493"/>
        <v>0</v>
      </c>
      <c r="BY85" s="1">
        <f t="shared" si="493"/>
        <v>0</v>
      </c>
      <c r="BZ85" s="1">
        <f t="shared" si="493"/>
        <v>0</v>
      </c>
      <c r="CA85" s="1">
        <f t="shared" si="493"/>
        <v>0</v>
      </c>
      <c r="CB85" s="1">
        <f t="shared" si="493"/>
        <v>0</v>
      </c>
      <c r="CC85" s="1">
        <f t="shared" si="493"/>
        <v>0</v>
      </c>
      <c r="CD85" s="1">
        <f t="shared" si="493"/>
        <v>0</v>
      </c>
      <c r="CE85" s="1">
        <f t="shared" si="493"/>
        <v>0</v>
      </c>
      <c r="CF85" s="1">
        <f t="shared" si="493"/>
        <v>0</v>
      </c>
      <c r="CG85" s="1">
        <f t="shared" si="493"/>
        <v>0</v>
      </c>
      <c r="CH85" s="1">
        <f t="shared" si="493"/>
        <v>0</v>
      </c>
      <c r="CI85" s="1">
        <f t="shared" si="493"/>
        <v>0</v>
      </c>
      <c r="CJ85" s="1">
        <f t="shared" si="493"/>
        <v>0</v>
      </c>
      <c r="CK85" s="1">
        <f t="shared" si="493"/>
        <v>0</v>
      </c>
      <c r="CL85" s="1">
        <f t="shared" si="493"/>
        <v>0</v>
      </c>
      <c r="CM85" s="1">
        <f t="shared" si="493"/>
        <v>0</v>
      </c>
      <c r="CN85" s="1">
        <f t="shared" si="493"/>
        <v>0</v>
      </c>
      <c r="CO85" s="1">
        <f t="shared" si="493"/>
        <v>0</v>
      </c>
      <c r="CP85" s="1">
        <f t="shared" si="493"/>
        <v>0</v>
      </c>
      <c r="CQ85" s="1">
        <f t="shared" si="493"/>
        <v>0</v>
      </c>
      <c r="CR85" s="1">
        <f t="shared" si="493"/>
        <v>0</v>
      </c>
      <c r="CS85" s="1">
        <f t="shared" si="493"/>
        <v>0</v>
      </c>
      <c r="CT85" s="1">
        <f t="shared" si="493"/>
        <v>0</v>
      </c>
      <c r="CU85" s="1">
        <f t="shared" si="493"/>
        <v>0</v>
      </c>
      <c r="CV85" s="1">
        <f t="shared" si="493"/>
        <v>0</v>
      </c>
      <c r="CW85" s="1">
        <f t="shared" si="493"/>
        <v>0</v>
      </c>
      <c r="CX85" s="1">
        <f t="shared" si="493"/>
        <v>0</v>
      </c>
      <c r="CY85" s="1">
        <f t="shared" si="493"/>
        <v>0</v>
      </c>
      <c r="CZ85" s="1">
        <f t="shared" si="493"/>
        <v>0</v>
      </c>
      <c r="DA85" s="1">
        <f t="shared" si="493"/>
        <v>0</v>
      </c>
      <c r="DB85" s="1">
        <f t="shared" si="493"/>
        <v>0</v>
      </c>
      <c r="DC85" s="1">
        <f t="shared" si="493"/>
        <v>0</v>
      </c>
      <c r="DD85" s="1">
        <f t="shared" si="493"/>
        <v>0</v>
      </c>
      <c r="DE85" s="1">
        <f t="shared" si="493"/>
        <v>0</v>
      </c>
      <c r="DF85" s="1">
        <f t="shared" si="493"/>
        <v>0</v>
      </c>
      <c r="DG85" s="1">
        <f t="shared" si="493"/>
        <v>0</v>
      </c>
      <c r="DH85" s="1">
        <f t="shared" si="493"/>
        <v>0</v>
      </c>
      <c r="DI85" s="1">
        <f t="shared" si="493"/>
        <v>0</v>
      </c>
      <c r="DJ85" s="1">
        <f t="shared" si="493"/>
        <v>0</v>
      </c>
      <c r="DK85" s="1">
        <f t="shared" si="493"/>
        <v>0</v>
      </c>
      <c r="DL85" s="1">
        <f t="shared" si="493"/>
        <v>0</v>
      </c>
      <c r="DM85" s="1">
        <f t="shared" si="493"/>
        <v>0</v>
      </c>
      <c r="DN85" s="1">
        <f t="shared" si="493"/>
        <v>0</v>
      </c>
      <c r="DO85" s="1">
        <f t="shared" si="493"/>
        <v>0</v>
      </c>
      <c r="DP85" s="1">
        <f t="shared" si="493"/>
        <v>0</v>
      </c>
      <c r="DQ85" s="1">
        <f t="shared" si="493"/>
        <v>0</v>
      </c>
      <c r="DR85" s="1">
        <f t="shared" si="493"/>
        <v>0</v>
      </c>
      <c r="DS85" s="1">
        <f t="shared" si="493"/>
        <v>0</v>
      </c>
      <c r="DT85" s="1">
        <f t="shared" si="493"/>
        <v>0</v>
      </c>
      <c r="DU85" s="1">
        <f t="shared" si="493"/>
        <v>0</v>
      </c>
      <c r="DV85" s="1">
        <f t="shared" si="493"/>
        <v>0</v>
      </c>
    </row>
    <row r="86" spans="1:126" x14ac:dyDescent="0.25">
      <c r="A86" t="s">
        <v>269</v>
      </c>
      <c r="B86" s="62">
        <f>++IF(Tipologia_Campo="FTTH",Detalle!P979,0)</f>
        <v>0</v>
      </c>
      <c r="C86" s="11"/>
      <c r="D86" s="35"/>
      <c r="E86" s="35">
        <f t="shared" si="488"/>
        <v>56</v>
      </c>
      <c r="F86" s="1">
        <f t="shared" si="494"/>
        <v>0</v>
      </c>
      <c r="G86" s="1">
        <f t="shared" si="491"/>
        <v>0</v>
      </c>
      <c r="H86" s="1">
        <f t="shared" si="491"/>
        <v>0</v>
      </c>
      <c r="I86" s="1">
        <f t="shared" si="491"/>
        <v>0</v>
      </c>
      <c r="J86" s="1">
        <f t="shared" si="491"/>
        <v>0</v>
      </c>
      <c r="K86" s="1">
        <f t="shared" si="491"/>
        <v>0</v>
      </c>
      <c r="L86" s="1">
        <f t="shared" si="491"/>
        <v>0</v>
      </c>
      <c r="M86" s="1">
        <f t="shared" si="491"/>
        <v>0</v>
      </c>
      <c r="N86" s="1">
        <f t="shared" si="491"/>
        <v>0</v>
      </c>
      <c r="O86" s="1">
        <f t="shared" si="491"/>
        <v>0</v>
      </c>
      <c r="P86" s="1">
        <f t="shared" si="491"/>
        <v>0</v>
      </c>
      <c r="Q86" s="1">
        <f t="shared" si="491"/>
        <v>0</v>
      </c>
      <c r="R86" s="1">
        <f t="shared" si="491"/>
        <v>0</v>
      </c>
      <c r="S86" s="1">
        <f t="shared" si="491"/>
        <v>0</v>
      </c>
      <c r="T86" s="1">
        <f t="shared" si="491"/>
        <v>0</v>
      </c>
      <c r="U86" s="1">
        <f t="shared" si="491"/>
        <v>0</v>
      </c>
      <c r="V86" s="1">
        <f t="shared" ref="V86:BR86" si="496">+IF($A86="","",IF($D86=V$15,$B86+IF(MONTH($B$8)-MONTH($B$7)+$E$14=U$14,$C86,0),0))</f>
        <v>0</v>
      </c>
      <c r="W86" s="1">
        <f t="shared" si="496"/>
        <v>0</v>
      </c>
      <c r="X86" s="1">
        <f t="shared" si="496"/>
        <v>0</v>
      </c>
      <c r="Y86" s="1">
        <f t="shared" si="496"/>
        <v>0</v>
      </c>
      <c r="Z86" s="1">
        <f t="shared" si="496"/>
        <v>0</v>
      </c>
      <c r="AA86" s="1">
        <f t="shared" si="496"/>
        <v>0</v>
      </c>
      <c r="AB86" s="1">
        <f t="shared" si="496"/>
        <v>0</v>
      </c>
      <c r="AC86" s="1">
        <f t="shared" si="496"/>
        <v>0</v>
      </c>
      <c r="AD86" s="1">
        <f t="shared" si="496"/>
        <v>0</v>
      </c>
      <c r="AE86" s="1">
        <f t="shared" si="496"/>
        <v>0</v>
      </c>
      <c r="AF86" s="1">
        <f t="shared" si="496"/>
        <v>0</v>
      </c>
      <c r="AG86" s="1">
        <f t="shared" si="496"/>
        <v>0</v>
      </c>
      <c r="AH86" s="1">
        <f t="shared" si="496"/>
        <v>0</v>
      </c>
      <c r="AI86" s="1">
        <f t="shared" si="496"/>
        <v>0</v>
      </c>
      <c r="AJ86" s="1">
        <f t="shared" si="496"/>
        <v>0</v>
      </c>
      <c r="AK86" s="1">
        <f t="shared" si="496"/>
        <v>0</v>
      </c>
      <c r="AL86" s="1">
        <f t="shared" si="496"/>
        <v>0</v>
      </c>
      <c r="AM86" s="1">
        <f t="shared" si="496"/>
        <v>0</v>
      </c>
      <c r="AN86" s="1">
        <f t="shared" si="496"/>
        <v>0</v>
      </c>
      <c r="AO86" s="1">
        <f t="shared" si="496"/>
        <v>0</v>
      </c>
      <c r="AP86" s="1">
        <f t="shared" si="496"/>
        <v>0</v>
      </c>
      <c r="AQ86" s="1">
        <f t="shared" si="496"/>
        <v>0</v>
      </c>
      <c r="AR86" s="1">
        <f t="shared" si="496"/>
        <v>0</v>
      </c>
      <c r="AS86" s="1">
        <f t="shared" si="496"/>
        <v>0</v>
      </c>
      <c r="AT86" s="1">
        <f t="shared" si="496"/>
        <v>0</v>
      </c>
      <c r="AU86" s="1">
        <f t="shared" si="496"/>
        <v>0</v>
      </c>
      <c r="AV86" s="1">
        <f t="shared" si="496"/>
        <v>0</v>
      </c>
      <c r="AW86" s="1">
        <f t="shared" si="496"/>
        <v>0</v>
      </c>
      <c r="AX86" s="1">
        <f t="shared" si="496"/>
        <v>0</v>
      </c>
      <c r="AY86" s="1">
        <f t="shared" si="496"/>
        <v>0</v>
      </c>
      <c r="AZ86" s="1">
        <f t="shared" si="496"/>
        <v>0</v>
      </c>
      <c r="BA86" s="1">
        <f t="shared" si="496"/>
        <v>0</v>
      </c>
      <c r="BB86" s="1">
        <f t="shared" si="496"/>
        <v>0</v>
      </c>
      <c r="BC86" s="1">
        <f t="shared" si="496"/>
        <v>0</v>
      </c>
      <c r="BD86" s="1">
        <f t="shared" si="496"/>
        <v>0</v>
      </c>
      <c r="BE86" s="1">
        <f t="shared" si="496"/>
        <v>0</v>
      </c>
      <c r="BF86" s="1">
        <f t="shared" si="496"/>
        <v>0</v>
      </c>
      <c r="BG86" s="1">
        <f t="shared" si="496"/>
        <v>0</v>
      </c>
      <c r="BH86" s="1">
        <f t="shared" si="496"/>
        <v>0</v>
      </c>
      <c r="BI86" s="1">
        <f t="shared" si="496"/>
        <v>0</v>
      </c>
      <c r="BJ86" s="1">
        <f t="shared" si="496"/>
        <v>0</v>
      </c>
      <c r="BK86" s="1">
        <f t="shared" si="496"/>
        <v>0</v>
      </c>
      <c r="BL86" s="1">
        <f t="shared" si="496"/>
        <v>0</v>
      </c>
      <c r="BM86" s="1">
        <f t="shared" si="496"/>
        <v>0</v>
      </c>
      <c r="BN86" s="1">
        <f t="shared" si="496"/>
        <v>0</v>
      </c>
      <c r="BO86" s="1">
        <f t="shared" si="496"/>
        <v>0</v>
      </c>
      <c r="BP86" s="1">
        <f t="shared" si="496"/>
        <v>0</v>
      </c>
      <c r="BQ86" s="1">
        <f t="shared" si="496"/>
        <v>0</v>
      </c>
      <c r="BR86" s="1">
        <f t="shared" si="496"/>
        <v>0</v>
      </c>
      <c r="BS86" s="1">
        <f t="shared" si="493"/>
        <v>0</v>
      </c>
      <c r="BT86" s="1">
        <f t="shared" si="493"/>
        <v>0</v>
      </c>
      <c r="BU86" s="1">
        <f t="shared" ref="BU86:DV86" si="497">+IF($A86="","",IF($D86=BU$15,$B86+IF(MONTH($B$8)-MONTH($B$7)+$E$14=BT$14,$C86,0),0))</f>
        <v>0</v>
      </c>
      <c r="BV86" s="1">
        <f t="shared" si="497"/>
        <v>0</v>
      </c>
      <c r="BW86" s="1">
        <f t="shared" si="497"/>
        <v>0</v>
      </c>
      <c r="BX86" s="1">
        <f t="shared" si="497"/>
        <v>0</v>
      </c>
      <c r="BY86" s="1">
        <f t="shared" si="497"/>
        <v>0</v>
      </c>
      <c r="BZ86" s="1">
        <f t="shared" si="497"/>
        <v>0</v>
      </c>
      <c r="CA86" s="1">
        <f t="shared" si="497"/>
        <v>0</v>
      </c>
      <c r="CB86" s="1">
        <f t="shared" si="497"/>
        <v>0</v>
      </c>
      <c r="CC86" s="1">
        <f t="shared" si="497"/>
        <v>0</v>
      </c>
      <c r="CD86" s="1">
        <f t="shared" si="497"/>
        <v>0</v>
      </c>
      <c r="CE86" s="1">
        <f t="shared" si="497"/>
        <v>0</v>
      </c>
      <c r="CF86" s="1">
        <f t="shared" si="497"/>
        <v>0</v>
      </c>
      <c r="CG86" s="1">
        <f t="shared" si="497"/>
        <v>0</v>
      </c>
      <c r="CH86" s="1">
        <f t="shared" si="497"/>
        <v>0</v>
      </c>
      <c r="CI86" s="1">
        <f t="shared" si="497"/>
        <v>0</v>
      </c>
      <c r="CJ86" s="1">
        <f t="shared" si="497"/>
        <v>0</v>
      </c>
      <c r="CK86" s="1">
        <f t="shared" si="497"/>
        <v>0</v>
      </c>
      <c r="CL86" s="1">
        <f t="shared" si="497"/>
        <v>0</v>
      </c>
      <c r="CM86" s="1">
        <f t="shared" si="497"/>
        <v>0</v>
      </c>
      <c r="CN86" s="1">
        <f t="shared" si="497"/>
        <v>0</v>
      </c>
      <c r="CO86" s="1">
        <f t="shared" si="497"/>
        <v>0</v>
      </c>
      <c r="CP86" s="1">
        <f t="shared" si="497"/>
        <v>0</v>
      </c>
      <c r="CQ86" s="1">
        <f t="shared" si="497"/>
        <v>0</v>
      </c>
      <c r="CR86" s="1">
        <f t="shared" si="497"/>
        <v>0</v>
      </c>
      <c r="CS86" s="1">
        <f t="shared" si="497"/>
        <v>0</v>
      </c>
      <c r="CT86" s="1">
        <f t="shared" si="497"/>
        <v>0</v>
      </c>
      <c r="CU86" s="1">
        <f t="shared" si="497"/>
        <v>0</v>
      </c>
      <c r="CV86" s="1">
        <f t="shared" si="497"/>
        <v>0</v>
      </c>
      <c r="CW86" s="1">
        <f t="shared" si="497"/>
        <v>0</v>
      </c>
      <c r="CX86" s="1">
        <f t="shared" si="497"/>
        <v>0</v>
      </c>
      <c r="CY86" s="1">
        <f t="shared" si="497"/>
        <v>0</v>
      </c>
      <c r="CZ86" s="1">
        <f t="shared" si="497"/>
        <v>0</v>
      </c>
      <c r="DA86" s="1">
        <f t="shared" si="497"/>
        <v>0</v>
      </c>
      <c r="DB86" s="1">
        <f t="shared" si="497"/>
        <v>0</v>
      </c>
      <c r="DC86" s="1">
        <f t="shared" si="497"/>
        <v>0</v>
      </c>
      <c r="DD86" s="1">
        <f t="shared" si="497"/>
        <v>0</v>
      </c>
      <c r="DE86" s="1">
        <f t="shared" si="497"/>
        <v>0</v>
      </c>
      <c r="DF86" s="1">
        <f t="shared" si="497"/>
        <v>0</v>
      </c>
      <c r="DG86" s="1">
        <f t="shared" si="497"/>
        <v>0</v>
      </c>
      <c r="DH86" s="1">
        <f t="shared" si="497"/>
        <v>0</v>
      </c>
      <c r="DI86" s="1">
        <f t="shared" si="497"/>
        <v>0</v>
      </c>
      <c r="DJ86" s="1">
        <f t="shared" si="497"/>
        <v>0</v>
      </c>
      <c r="DK86" s="1">
        <f t="shared" si="497"/>
        <v>0</v>
      </c>
      <c r="DL86" s="1">
        <f t="shared" si="497"/>
        <v>0</v>
      </c>
      <c r="DM86" s="1">
        <f t="shared" si="497"/>
        <v>0</v>
      </c>
      <c r="DN86" s="1">
        <f t="shared" si="497"/>
        <v>0</v>
      </c>
      <c r="DO86" s="1">
        <f t="shared" si="497"/>
        <v>0</v>
      </c>
      <c r="DP86" s="1">
        <f t="shared" si="497"/>
        <v>0</v>
      </c>
      <c r="DQ86" s="1">
        <f t="shared" si="497"/>
        <v>0</v>
      </c>
      <c r="DR86" s="1">
        <f t="shared" si="497"/>
        <v>0</v>
      </c>
      <c r="DS86" s="1">
        <f t="shared" si="497"/>
        <v>0</v>
      </c>
      <c r="DT86" s="1">
        <f t="shared" si="497"/>
        <v>0</v>
      </c>
      <c r="DU86" s="1">
        <f t="shared" si="497"/>
        <v>0</v>
      </c>
      <c r="DV86" s="1">
        <f t="shared" si="497"/>
        <v>0</v>
      </c>
    </row>
    <row r="87" spans="1:126" ht="16.5" thickBot="1" x14ac:dyDescent="0.3">
      <c r="A87" s="26" t="s">
        <v>301</v>
      </c>
      <c r="B87" s="32"/>
      <c r="C87" s="36">
        <f>++IF(Tipologia_Campo="FTTH",Detalle!$P$978,0)</f>
        <v>0</v>
      </c>
      <c r="D87" s="35"/>
      <c r="E87" s="35">
        <f t="shared" si="488"/>
        <v>56</v>
      </c>
      <c r="F87" s="1">
        <f t="shared" ref="F87" si="498">+IF($A87="","",$B87+IF(MONTH($B$8)-MONTH($B$7)+$E$14=E$14,$C87,0))</f>
        <v>0</v>
      </c>
      <c r="G87" s="1">
        <f t="shared" ref="G87:AL87" si="499">+(IF($A87="","",IF($D87&gt;MONTH(G$16)-MONTH(InicioFuncion)+12*(YEAR(G$16)-YEAR(InicioFuncion))+1,0,IF($E87&lt;=(MONTH(G$16)-MONTH(InicioFuncion)+12*(YEAR(G$16)-YEAR(InicioFuncion)))-$D87+IF($D87&lt;&gt;"",1,0),0,IF(G$15&gt;$B$9,0,IF((YEAR($B$8)-YEAR($B$7))*12+(MONTH($B$8)-MONTH($B$7))+$E$14&lt;=F$14,$C87))))*HLOOKUP(YEAR(G$16),$E$3:$O$5,3,0)))</f>
        <v>0</v>
      </c>
      <c r="H87" s="1">
        <f t="shared" si="499"/>
        <v>0</v>
      </c>
      <c r="I87" s="1">
        <f t="shared" si="499"/>
        <v>0</v>
      </c>
      <c r="J87" s="1">
        <f t="shared" si="499"/>
        <v>0</v>
      </c>
      <c r="K87" s="1">
        <f t="shared" si="499"/>
        <v>0</v>
      </c>
      <c r="L87" s="1">
        <f t="shared" si="499"/>
        <v>0</v>
      </c>
      <c r="M87" s="1">
        <f t="shared" si="499"/>
        <v>0</v>
      </c>
      <c r="N87" s="1">
        <f t="shared" si="499"/>
        <v>0</v>
      </c>
      <c r="O87" s="1">
        <f t="shared" si="499"/>
        <v>0</v>
      </c>
      <c r="P87" s="1">
        <f t="shared" si="499"/>
        <v>0</v>
      </c>
      <c r="Q87" s="1">
        <f t="shared" si="499"/>
        <v>0</v>
      </c>
      <c r="R87" s="1">
        <f t="shared" si="499"/>
        <v>0</v>
      </c>
      <c r="S87" s="1">
        <f t="shared" si="499"/>
        <v>0</v>
      </c>
      <c r="T87" s="1">
        <f t="shared" si="499"/>
        <v>0</v>
      </c>
      <c r="U87" s="1">
        <f t="shared" si="499"/>
        <v>0</v>
      </c>
      <c r="V87" s="1">
        <f t="shared" si="499"/>
        <v>0</v>
      </c>
      <c r="W87" s="1">
        <f t="shared" si="499"/>
        <v>0</v>
      </c>
      <c r="X87" s="1">
        <f t="shared" si="499"/>
        <v>0</v>
      </c>
      <c r="Y87" s="1">
        <f t="shared" si="499"/>
        <v>0</v>
      </c>
      <c r="Z87" s="1">
        <f t="shared" si="499"/>
        <v>0</v>
      </c>
      <c r="AA87" s="1">
        <f t="shared" si="499"/>
        <v>0</v>
      </c>
      <c r="AB87" s="1">
        <f t="shared" si="499"/>
        <v>0</v>
      </c>
      <c r="AC87" s="1">
        <f t="shared" si="499"/>
        <v>0</v>
      </c>
      <c r="AD87" s="1">
        <f t="shared" si="499"/>
        <v>0</v>
      </c>
      <c r="AE87" s="1">
        <f t="shared" si="499"/>
        <v>0</v>
      </c>
      <c r="AF87" s="1">
        <f t="shared" si="499"/>
        <v>0</v>
      </c>
      <c r="AG87" s="1">
        <f t="shared" si="499"/>
        <v>0</v>
      </c>
      <c r="AH87" s="1">
        <f t="shared" si="499"/>
        <v>0</v>
      </c>
      <c r="AI87" s="1">
        <f t="shared" si="499"/>
        <v>0</v>
      </c>
      <c r="AJ87" s="1">
        <f t="shared" si="499"/>
        <v>0</v>
      </c>
      <c r="AK87" s="1">
        <f t="shared" si="499"/>
        <v>0</v>
      </c>
      <c r="AL87" s="1">
        <f t="shared" si="499"/>
        <v>0</v>
      </c>
      <c r="AM87" s="1">
        <f t="shared" ref="AM87:BR87" si="500">+(IF($A87="","",IF($D87&gt;MONTH(AM$16)-MONTH(InicioFuncion)+12*(YEAR(AM$16)-YEAR(InicioFuncion))+1,0,IF($E87&lt;=(MONTH(AM$16)-MONTH(InicioFuncion)+12*(YEAR(AM$16)-YEAR(InicioFuncion)))-$D87+IF($D87&lt;&gt;"",1,0),0,IF(AM$15&gt;$B$9,0,IF((YEAR($B$8)-YEAR($B$7))*12+(MONTH($B$8)-MONTH($B$7))+$E$14&lt;=AL$14,$C87))))*HLOOKUP(YEAR(AM$16),$E$3:$O$5,3,0)))</f>
        <v>0</v>
      </c>
      <c r="AN87" s="1">
        <f t="shared" si="500"/>
        <v>0</v>
      </c>
      <c r="AO87" s="1">
        <f t="shared" si="500"/>
        <v>0</v>
      </c>
      <c r="AP87" s="1">
        <f t="shared" si="500"/>
        <v>0</v>
      </c>
      <c r="AQ87" s="1">
        <f t="shared" si="500"/>
        <v>0</v>
      </c>
      <c r="AR87" s="1">
        <f t="shared" si="500"/>
        <v>0</v>
      </c>
      <c r="AS87" s="1">
        <f t="shared" si="500"/>
        <v>0</v>
      </c>
      <c r="AT87" s="1">
        <f t="shared" si="500"/>
        <v>0</v>
      </c>
      <c r="AU87" s="1">
        <f t="shared" si="500"/>
        <v>0</v>
      </c>
      <c r="AV87" s="1">
        <f t="shared" si="500"/>
        <v>0</v>
      </c>
      <c r="AW87" s="1">
        <f t="shared" si="500"/>
        <v>0</v>
      </c>
      <c r="AX87" s="1">
        <f t="shared" si="500"/>
        <v>0</v>
      </c>
      <c r="AY87" s="1">
        <f t="shared" si="500"/>
        <v>0</v>
      </c>
      <c r="AZ87" s="1">
        <f t="shared" si="500"/>
        <v>0</v>
      </c>
      <c r="BA87" s="1">
        <f t="shared" si="500"/>
        <v>0</v>
      </c>
      <c r="BB87" s="1">
        <f t="shared" si="500"/>
        <v>0</v>
      </c>
      <c r="BC87" s="1">
        <f t="shared" si="500"/>
        <v>0</v>
      </c>
      <c r="BD87" s="1">
        <f t="shared" si="500"/>
        <v>0</v>
      </c>
      <c r="BE87" s="1">
        <f t="shared" si="500"/>
        <v>0</v>
      </c>
      <c r="BF87" s="1">
        <f t="shared" si="500"/>
        <v>0</v>
      </c>
      <c r="BG87" s="1">
        <f t="shared" si="500"/>
        <v>0</v>
      </c>
      <c r="BH87" s="1">
        <f t="shared" si="500"/>
        <v>0</v>
      </c>
      <c r="BI87" s="1">
        <f t="shared" si="500"/>
        <v>0</v>
      </c>
      <c r="BJ87" s="1">
        <f t="shared" si="500"/>
        <v>0</v>
      </c>
      <c r="BK87" s="1">
        <f t="shared" si="500"/>
        <v>0</v>
      </c>
      <c r="BL87" s="1">
        <f t="shared" si="500"/>
        <v>0</v>
      </c>
      <c r="BM87" s="1">
        <f t="shared" si="500"/>
        <v>0</v>
      </c>
      <c r="BN87" s="1">
        <f t="shared" si="500"/>
        <v>0</v>
      </c>
      <c r="BO87" s="1">
        <f t="shared" si="500"/>
        <v>0</v>
      </c>
      <c r="BP87" s="1">
        <f t="shared" si="500"/>
        <v>0</v>
      </c>
      <c r="BQ87" s="1">
        <f t="shared" si="500"/>
        <v>0</v>
      </c>
      <c r="BR87" s="1">
        <f t="shared" si="500"/>
        <v>0</v>
      </c>
      <c r="BS87" s="1">
        <f t="shared" ref="BS87:CX87" si="501">+(IF($A87="","",IF($D87&gt;MONTH(BS$16)-MONTH(InicioFuncion)+12*(YEAR(BS$16)-YEAR(InicioFuncion))+1,0,IF($E87&lt;=(MONTH(BS$16)-MONTH(InicioFuncion)+12*(YEAR(BS$16)-YEAR(InicioFuncion)))-$D87+IF($D87&lt;&gt;"",1,0),0,IF(BS$15&gt;$B$9,0,IF((YEAR($B$8)-YEAR($B$7))*12+(MONTH($B$8)-MONTH($B$7))+$E$14&lt;=BR$14,$C87))))*HLOOKUP(YEAR(BS$16),$E$3:$O$5,3,0)))</f>
        <v>0</v>
      </c>
      <c r="BT87" s="1">
        <f t="shared" si="501"/>
        <v>0</v>
      </c>
      <c r="BU87" s="1">
        <f t="shared" si="501"/>
        <v>0</v>
      </c>
      <c r="BV87" s="1">
        <f t="shared" si="501"/>
        <v>0</v>
      </c>
      <c r="BW87" s="1">
        <f t="shared" si="501"/>
        <v>0</v>
      </c>
      <c r="BX87" s="1">
        <f t="shared" si="501"/>
        <v>0</v>
      </c>
      <c r="BY87" s="1">
        <f t="shared" si="501"/>
        <v>0</v>
      </c>
      <c r="BZ87" s="1">
        <f t="shared" si="501"/>
        <v>0</v>
      </c>
      <c r="CA87" s="1">
        <f t="shared" si="501"/>
        <v>0</v>
      </c>
      <c r="CB87" s="1">
        <f t="shared" si="501"/>
        <v>0</v>
      </c>
      <c r="CC87" s="1">
        <f t="shared" si="501"/>
        <v>0</v>
      </c>
      <c r="CD87" s="1">
        <f t="shared" si="501"/>
        <v>0</v>
      </c>
      <c r="CE87" s="1">
        <f t="shared" si="501"/>
        <v>0</v>
      </c>
      <c r="CF87" s="1">
        <f t="shared" si="501"/>
        <v>0</v>
      </c>
      <c r="CG87" s="1">
        <f t="shared" si="501"/>
        <v>0</v>
      </c>
      <c r="CH87" s="1">
        <f t="shared" si="501"/>
        <v>0</v>
      </c>
      <c r="CI87" s="1">
        <f t="shared" si="501"/>
        <v>0</v>
      </c>
      <c r="CJ87" s="1">
        <f t="shared" si="501"/>
        <v>0</v>
      </c>
      <c r="CK87" s="1">
        <f t="shared" si="501"/>
        <v>0</v>
      </c>
      <c r="CL87" s="1">
        <f t="shared" si="501"/>
        <v>0</v>
      </c>
      <c r="CM87" s="1">
        <f t="shared" si="501"/>
        <v>0</v>
      </c>
      <c r="CN87" s="1">
        <f t="shared" si="501"/>
        <v>0</v>
      </c>
      <c r="CO87" s="1">
        <f t="shared" si="501"/>
        <v>0</v>
      </c>
      <c r="CP87" s="1">
        <f t="shared" si="501"/>
        <v>0</v>
      </c>
      <c r="CQ87" s="1">
        <f t="shared" si="501"/>
        <v>0</v>
      </c>
      <c r="CR87" s="1">
        <f t="shared" si="501"/>
        <v>0</v>
      </c>
      <c r="CS87" s="1">
        <f t="shared" si="501"/>
        <v>0</v>
      </c>
      <c r="CT87" s="1">
        <f t="shared" si="501"/>
        <v>0</v>
      </c>
      <c r="CU87" s="1">
        <f t="shared" si="501"/>
        <v>0</v>
      </c>
      <c r="CV87" s="1">
        <f t="shared" si="501"/>
        <v>0</v>
      </c>
      <c r="CW87" s="1">
        <f t="shared" si="501"/>
        <v>0</v>
      </c>
      <c r="CX87" s="1">
        <f t="shared" si="501"/>
        <v>0</v>
      </c>
      <c r="CY87" s="1">
        <f t="shared" ref="CY87:DV87" si="502">+(IF($A87="","",IF($D87&gt;MONTH(CY$16)-MONTH(InicioFuncion)+12*(YEAR(CY$16)-YEAR(InicioFuncion))+1,0,IF($E87&lt;=(MONTH(CY$16)-MONTH(InicioFuncion)+12*(YEAR(CY$16)-YEAR(InicioFuncion)))-$D87+IF($D87&lt;&gt;"",1,0),0,IF(CY$15&gt;$B$9,0,IF((YEAR($B$8)-YEAR($B$7))*12+(MONTH($B$8)-MONTH($B$7))+$E$14&lt;=CX$14,$C87))))*HLOOKUP(YEAR(CY$16),$E$3:$O$5,3,0)))</f>
        <v>0</v>
      </c>
      <c r="CZ87" s="1">
        <f t="shared" si="502"/>
        <v>0</v>
      </c>
      <c r="DA87" s="1">
        <f t="shared" si="502"/>
        <v>0</v>
      </c>
      <c r="DB87" s="1">
        <f t="shared" si="502"/>
        <v>0</v>
      </c>
      <c r="DC87" s="1">
        <f t="shared" si="502"/>
        <v>0</v>
      </c>
      <c r="DD87" s="1">
        <f t="shared" si="502"/>
        <v>0</v>
      </c>
      <c r="DE87" s="1">
        <f t="shared" si="502"/>
        <v>0</v>
      </c>
      <c r="DF87" s="1">
        <f t="shared" si="502"/>
        <v>0</v>
      </c>
      <c r="DG87" s="1">
        <f t="shared" si="502"/>
        <v>0</v>
      </c>
      <c r="DH87" s="1">
        <f t="shared" si="502"/>
        <v>0</v>
      </c>
      <c r="DI87" s="1">
        <f t="shared" si="502"/>
        <v>0</v>
      </c>
      <c r="DJ87" s="1">
        <f t="shared" si="502"/>
        <v>0</v>
      </c>
      <c r="DK87" s="1">
        <f t="shared" si="502"/>
        <v>0</v>
      </c>
      <c r="DL87" s="1">
        <f t="shared" si="502"/>
        <v>0</v>
      </c>
      <c r="DM87" s="1">
        <f t="shared" si="502"/>
        <v>0</v>
      </c>
      <c r="DN87" s="1">
        <f t="shared" si="502"/>
        <v>0</v>
      </c>
      <c r="DO87" s="1">
        <f t="shared" si="502"/>
        <v>0</v>
      </c>
      <c r="DP87" s="1">
        <f t="shared" si="502"/>
        <v>0</v>
      </c>
      <c r="DQ87" s="1">
        <f t="shared" si="502"/>
        <v>0</v>
      </c>
      <c r="DR87" s="1">
        <f t="shared" si="502"/>
        <v>0</v>
      </c>
      <c r="DS87" s="1">
        <f t="shared" si="502"/>
        <v>0</v>
      </c>
      <c r="DT87" s="1">
        <f t="shared" si="502"/>
        <v>0</v>
      </c>
      <c r="DU87" s="1">
        <f t="shared" si="502"/>
        <v>0</v>
      </c>
      <c r="DV87" s="1">
        <f t="shared" si="502"/>
        <v>0</v>
      </c>
    </row>
    <row r="88" spans="1:126" ht="16.5" thickBot="1" x14ac:dyDescent="0.3">
      <c r="A88" s="153" t="s">
        <v>271</v>
      </c>
      <c r="B88" s="154"/>
      <c r="C88" s="155"/>
      <c r="D88" s="35"/>
      <c r="E88" s="35">
        <f t="shared" si="488"/>
        <v>56</v>
      </c>
      <c r="F88" s="1">
        <f t="shared" ref="F88:F89" si="503">+IF($A88="","",$B88+IF(MONTH($B$8)-MONTH($B$7)+$E$14=E$14,$C88,0))</f>
        <v>0</v>
      </c>
      <c r="G88" s="1">
        <f t="shared" ref="G88:AL88" si="504">+(IF($A88="","",IF($D88&gt;MONTH(G$16)-MONTH(InicioFuncion)+12*(YEAR(G$16)-YEAR(InicioFuncion))+1,0,IF($E88&lt;=(MONTH(G$16)-MONTH(InicioFuncion)+12*(YEAR(G$16)-YEAR(InicioFuncion)))-$D88,0,IF(G$15&gt;$B$9,0,IF((YEAR($B$8)-YEAR($B$7))*12+(MONTH($B$8)-MONTH($B$7))+$E$14&lt;=F$14,$C88))))*HLOOKUP(YEAR(G$16),$E$3:$O$5,3,0)))</f>
        <v>0</v>
      </c>
      <c r="H88" s="1">
        <f t="shared" si="504"/>
        <v>0</v>
      </c>
      <c r="I88" s="1">
        <f t="shared" si="504"/>
        <v>0</v>
      </c>
      <c r="J88" s="1">
        <f t="shared" si="504"/>
        <v>0</v>
      </c>
      <c r="K88" s="1">
        <f t="shared" si="504"/>
        <v>0</v>
      </c>
      <c r="L88" s="1">
        <f t="shared" si="504"/>
        <v>0</v>
      </c>
      <c r="M88" s="1">
        <f t="shared" si="504"/>
        <v>0</v>
      </c>
      <c r="N88" s="1">
        <f t="shared" si="504"/>
        <v>0</v>
      </c>
      <c r="O88" s="1">
        <f t="shared" si="504"/>
        <v>0</v>
      </c>
      <c r="P88" s="1">
        <f t="shared" si="504"/>
        <v>0</v>
      </c>
      <c r="Q88" s="1">
        <f t="shared" si="504"/>
        <v>0</v>
      </c>
      <c r="R88" s="1">
        <f t="shared" si="504"/>
        <v>0</v>
      </c>
      <c r="S88" s="1">
        <f t="shared" si="504"/>
        <v>0</v>
      </c>
      <c r="T88" s="1">
        <f t="shared" si="504"/>
        <v>0</v>
      </c>
      <c r="U88" s="1">
        <f t="shared" si="504"/>
        <v>0</v>
      </c>
      <c r="V88" s="1">
        <f t="shared" si="504"/>
        <v>0</v>
      </c>
      <c r="W88" s="1">
        <f t="shared" si="504"/>
        <v>0</v>
      </c>
      <c r="X88" s="1">
        <f t="shared" si="504"/>
        <v>0</v>
      </c>
      <c r="Y88" s="1">
        <f t="shared" si="504"/>
        <v>0</v>
      </c>
      <c r="Z88" s="1">
        <f t="shared" si="504"/>
        <v>0</v>
      </c>
      <c r="AA88" s="1">
        <f t="shared" si="504"/>
        <v>0</v>
      </c>
      <c r="AB88" s="1">
        <f t="shared" si="504"/>
        <v>0</v>
      </c>
      <c r="AC88" s="1">
        <f t="shared" si="504"/>
        <v>0</v>
      </c>
      <c r="AD88" s="1">
        <f t="shared" si="504"/>
        <v>0</v>
      </c>
      <c r="AE88" s="1">
        <f t="shared" si="504"/>
        <v>0</v>
      </c>
      <c r="AF88" s="1">
        <f t="shared" si="504"/>
        <v>0</v>
      </c>
      <c r="AG88" s="1">
        <f t="shared" si="504"/>
        <v>0</v>
      </c>
      <c r="AH88" s="1">
        <f t="shared" si="504"/>
        <v>0</v>
      </c>
      <c r="AI88" s="1">
        <f t="shared" si="504"/>
        <v>0</v>
      </c>
      <c r="AJ88" s="1">
        <f t="shared" si="504"/>
        <v>0</v>
      </c>
      <c r="AK88" s="1">
        <f t="shared" si="504"/>
        <v>0</v>
      </c>
      <c r="AL88" s="1">
        <f t="shared" si="504"/>
        <v>0</v>
      </c>
      <c r="AM88" s="1">
        <f t="shared" ref="AM88:BR88" si="505">+(IF($A88="","",IF($D88&gt;MONTH(AM$16)-MONTH(InicioFuncion)+12*(YEAR(AM$16)-YEAR(InicioFuncion))+1,0,IF($E88&lt;=(MONTH(AM$16)-MONTH(InicioFuncion)+12*(YEAR(AM$16)-YEAR(InicioFuncion)))-$D88,0,IF(AM$15&gt;$B$9,0,IF((YEAR($B$8)-YEAR($B$7))*12+(MONTH($B$8)-MONTH($B$7))+$E$14&lt;=AL$14,$C88))))*HLOOKUP(YEAR(AM$16),$E$3:$O$5,3,0)))</f>
        <v>0</v>
      </c>
      <c r="AN88" s="1">
        <f t="shared" si="505"/>
        <v>0</v>
      </c>
      <c r="AO88" s="1">
        <f t="shared" si="505"/>
        <v>0</v>
      </c>
      <c r="AP88" s="1">
        <f t="shared" si="505"/>
        <v>0</v>
      </c>
      <c r="AQ88" s="1">
        <f t="shared" si="505"/>
        <v>0</v>
      </c>
      <c r="AR88" s="1">
        <f t="shared" si="505"/>
        <v>0</v>
      </c>
      <c r="AS88" s="1">
        <f t="shared" si="505"/>
        <v>0</v>
      </c>
      <c r="AT88" s="1">
        <f t="shared" si="505"/>
        <v>0</v>
      </c>
      <c r="AU88" s="1">
        <f t="shared" si="505"/>
        <v>0</v>
      </c>
      <c r="AV88" s="1">
        <f t="shared" si="505"/>
        <v>0</v>
      </c>
      <c r="AW88" s="1">
        <f t="shared" si="505"/>
        <v>0</v>
      </c>
      <c r="AX88" s="1">
        <f t="shared" si="505"/>
        <v>0</v>
      </c>
      <c r="AY88" s="1">
        <f t="shared" si="505"/>
        <v>0</v>
      </c>
      <c r="AZ88" s="1">
        <f t="shared" si="505"/>
        <v>0</v>
      </c>
      <c r="BA88" s="1">
        <f t="shared" si="505"/>
        <v>0</v>
      </c>
      <c r="BB88" s="1">
        <f t="shared" si="505"/>
        <v>0</v>
      </c>
      <c r="BC88" s="1">
        <f t="shared" si="505"/>
        <v>0</v>
      </c>
      <c r="BD88" s="1">
        <f t="shared" si="505"/>
        <v>0</v>
      </c>
      <c r="BE88" s="1">
        <f t="shared" si="505"/>
        <v>0</v>
      </c>
      <c r="BF88" s="1">
        <f t="shared" si="505"/>
        <v>0</v>
      </c>
      <c r="BG88" s="1">
        <f t="shared" si="505"/>
        <v>0</v>
      </c>
      <c r="BH88" s="1">
        <f t="shared" si="505"/>
        <v>0</v>
      </c>
      <c r="BI88" s="1">
        <f t="shared" si="505"/>
        <v>0</v>
      </c>
      <c r="BJ88" s="1">
        <f t="shared" si="505"/>
        <v>0</v>
      </c>
      <c r="BK88" s="1">
        <f t="shared" si="505"/>
        <v>0</v>
      </c>
      <c r="BL88" s="1">
        <f t="shared" si="505"/>
        <v>0</v>
      </c>
      <c r="BM88" s="1">
        <f t="shared" si="505"/>
        <v>0</v>
      </c>
      <c r="BN88" s="1">
        <f t="shared" si="505"/>
        <v>0</v>
      </c>
      <c r="BO88" s="1">
        <f t="shared" si="505"/>
        <v>0</v>
      </c>
      <c r="BP88" s="1">
        <f t="shared" si="505"/>
        <v>0</v>
      </c>
      <c r="BQ88" s="1">
        <f t="shared" si="505"/>
        <v>0</v>
      </c>
      <c r="BR88" s="1">
        <f t="shared" si="505"/>
        <v>0</v>
      </c>
      <c r="BS88" s="1">
        <f t="shared" ref="BS88:CX88" si="506">+(IF($A88="","",IF($D88&gt;MONTH(BS$16)-MONTH(InicioFuncion)+12*(YEAR(BS$16)-YEAR(InicioFuncion))+1,0,IF($E88&lt;=(MONTH(BS$16)-MONTH(InicioFuncion)+12*(YEAR(BS$16)-YEAR(InicioFuncion)))-$D88,0,IF(BS$15&gt;$B$9,0,IF((YEAR($B$8)-YEAR($B$7))*12+(MONTH($B$8)-MONTH($B$7))+$E$14&lt;=BR$14,$C88))))*HLOOKUP(YEAR(BS$16),$E$3:$O$5,3,0)))</f>
        <v>0</v>
      </c>
      <c r="BT88" s="1">
        <f t="shared" si="506"/>
        <v>0</v>
      </c>
      <c r="BU88" s="1">
        <f t="shared" si="506"/>
        <v>0</v>
      </c>
      <c r="BV88" s="1">
        <f t="shared" si="506"/>
        <v>0</v>
      </c>
      <c r="BW88" s="1">
        <f t="shared" si="506"/>
        <v>0</v>
      </c>
      <c r="BX88" s="1">
        <f t="shared" si="506"/>
        <v>0</v>
      </c>
      <c r="BY88" s="1">
        <f t="shared" si="506"/>
        <v>0</v>
      </c>
      <c r="BZ88" s="1">
        <f t="shared" si="506"/>
        <v>0</v>
      </c>
      <c r="CA88" s="1">
        <f t="shared" si="506"/>
        <v>0</v>
      </c>
      <c r="CB88" s="1">
        <f t="shared" si="506"/>
        <v>0</v>
      </c>
      <c r="CC88" s="1">
        <f t="shared" si="506"/>
        <v>0</v>
      </c>
      <c r="CD88" s="1">
        <f t="shared" si="506"/>
        <v>0</v>
      </c>
      <c r="CE88" s="1">
        <f t="shared" si="506"/>
        <v>0</v>
      </c>
      <c r="CF88" s="1">
        <f t="shared" si="506"/>
        <v>0</v>
      </c>
      <c r="CG88" s="1">
        <f t="shared" si="506"/>
        <v>0</v>
      </c>
      <c r="CH88" s="1">
        <f t="shared" si="506"/>
        <v>0</v>
      </c>
      <c r="CI88" s="1">
        <f t="shared" si="506"/>
        <v>0</v>
      </c>
      <c r="CJ88" s="1">
        <f t="shared" si="506"/>
        <v>0</v>
      </c>
      <c r="CK88" s="1">
        <f t="shared" si="506"/>
        <v>0</v>
      </c>
      <c r="CL88" s="1">
        <f t="shared" si="506"/>
        <v>0</v>
      </c>
      <c r="CM88" s="1">
        <f t="shared" si="506"/>
        <v>0</v>
      </c>
      <c r="CN88" s="1">
        <f t="shared" si="506"/>
        <v>0</v>
      </c>
      <c r="CO88" s="1">
        <f t="shared" si="506"/>
        <v>0</v>
      </c>
      <c r="CP88" s="1">
        <f t="shared" si="506"/>
        <v>0</v>
      </c>
      <c r="CQ88" s="1">
        <f t="shared" si="506"/>
        <v>0</v>
      </c>
      <c r="CR88" s="1">
        <f t="shared" si="506"/>
        <v>0</v>
      </c>
      <c r="CS88" s="1">
        <f t="shared" si="506"/>
        <v>0</v>
      </c>
      <c r="CT88" s="1">
        <f t="shared" si="506"/>
        <v>0</v>
      </c>
      <c r="CU88" s="1">
        <f t="shared" si="506"/>
        <v>0</v>
      </c>
      <c r="CV88" s="1">
        <f t="shared" si="506"/>
        <v>0</v>
      </c>
      <c r="CW88" s="1">
        <f t="shared" si="506"/>
        <v>0</v>
      </c>
      <c r="CX88" s="1">
        <f t="shared" si="506"/>
        <v>0</v>
      </c>
      <c r="CY88" s="1">
        <f t="shared" ref="CY88:DV88" si="507">+(IF($A88="","",IF($D88&gt;MONTH(CY$16)-MONTH(InicioFuncion)+12*(YEAR(CY$16)-YEAR(InicioFuncion))+1,0,IF($E88&lt;=(MONTH(CY$16)-MONTH(InicioFuncion)+12*(YEAR(CY$16)-YEAR(InicioFuncion)))-$D88,0,IF(CY$15&gt;$B$9,0,IF((YEAR($B$8)-YEAR($B$7))*12+(MONTH($B$8)-MONTH($B$7))+$E$14&lt;=CX$14,$C88))))*HLOOKUP(YEAR(CY$16),$E$3:$O$5,3,0)))</f>
        <v>0</v>
      </c>
      <c r="CZ88" s="1">
        <f t="shared" si="507"/>
        <v>0</v>
      </c>
      <c r="DA88" s="1">
        <f t="shared" si="507"/>
        <v>0</v>
      </c>
      <c r="DB88" s="1">
        <f t="shared" si="507"/>
        <v>0</v>
      </c>
      <c r="DC88" s="1">
        <f t="shared" si="507"/>
        <v>0</v>
      </c>
      <c r="DD88" s="1">
        <f t="shared" si="507"/>
        <v>0</v>
      </c>
      <c r="DE88" s="1">
        <f t="shared" si="507"/>
        <v>0</v>
      </c>
      <c r="DF88" s="1">
        <f t="shared" si="507"/>
        <v>0</v>
      </c>
      <c r="DG88" s="1">
        <f t="shared" si="507"/>
        <v>0</v>
      </c>
      <c r="DH88" s="1">
        <f t="shared" si="507"/>
        <v>0</v>
      </c>
      <c r="DI88" s="1">
        <f t="shared" si="507"/>
        <v>0</v>
      </c>
      <c r="DJ88" s="1">
        <f t="shared" si="507"/>
        <v>0</v>
      </c>
      <c r="DK88" s="1">
        <f t="shared" si="507"/>
        <v>0</v>
      </c>
      <c r="DL88" s="1">
        <f t="shared" si="507"/>
        <v>0</v>
      </c>
      <c r="DM88" s="1">
        <f t="shared" si="507"/>
        <v>0</v>
      </c>
      <c r="DN88" s="1">
        <f t="shared" si="507"/>
        <v>0</v>
      </c>
      <c r="DO88" s="1">
        <f t="shared" si="507"/>
        <v>0</v>
      </c>
      <c r="DP88" s="1">
        <f t="shared" si="507"/>
        <v>0</v>
      </c>
      <c r="DQ88" s="1">
        <f t="shared" si="507"/>
        <v>0</v>
      </c>
      <c r="DR88" s="1">
        <f t="shared" si="507"/>
        <v>0</v>
      </c>
      <c r="DS88" s="1">
        <f t="shared" si="507"/>
        <v>0</v>
      </c>
      <c r="DT88" s="1">
        <f t="shared" si="507"/>
        <v>0</v>
      </c>
      <c r="DU88" s="1">
        <f t="shared" si="507"/>
        <v>0</v>
      </c>
      <c r="DV88" s="1">
        <f t="shared" si="507"/>
        <v>0</v>
      </c>
    </row>
    <row r="89" spans="1:126" x14ac:dyDescent="0.25">
      <c r="A89" t="s">
        <v>115</v>
      </c>
      <c r="B89" s="32"/>
      <c r="C89" s="71">
        <f>+IF(Tipologia_Campo="LTE No Lic BH Satelital",Detalle!H963,0)</f>
        <v>0</v>
      </c>
      <c r="D89" s="35"/>
      <c r="E89" s="35">
        <f t="shared" si="488"/>
        <v>56</v>
      </c>
      <c r="F89" s="1">
        <f t="shared" si="503"/>
        <v>0</v>
      </c>
      <c r="G89" s="1">
        <f t="shared" ref="G89:AL89" si="508">+(IF($A89="","",IF($D89&gt;MONTH(G$16)-MONTH(InicioFuncion)+12*(YEAR(G$16)-YEAR(InicioFuncion))+1,0,IF($E89&lt;=(MONTH(G$16)-MONTH(InicioFuncion)+12*(YEAR(G$16)-YEAR(InicioFuncion)))-$D89+IF($D89&lt;&gt;"",1,0),0,IF(G$15&gt;$B$9,0,IF((YEAR($B$8)-YEAR($B$7))*12+(MONTH($B$8)-MONTH($B$7))+$E$14&lt;=F$14,$C89))))*HLOOKUP(YEAR(G$16),$E$3:$O$5,3,0)))</f>
        <v>0</v>
      </c>
      <c r="H89" s="1">
        <f t="shared" si="508"/>
        <v>0</v>
      </c>
      <c r="I89" s="1">
        <f t="shared" si="508"/>
        <v>0</v>
      </c>
      <c r="J89" s="1">
        <f t="shared" si="508"/>
        <v>0</v>
      </c>
      <c r="K89" s="1">
        <f t="shared" si="508"/>
        <v>0</v>
      </c>
      <c r="L89" s="1">
        <f t="shared" si="508"/>
        <v>0</v>
      </c>
      <c r="M89" s="1">
        <f t="shared" si="508"/>
        <v>0</v>
      </c>
      <c r="N89" s="1">
        <f t="shared" si="508"/>
        <v>0</v>
      </c>
      <c r="O89" s="1">
        <f t="shared" si="508"/>
        <v>0</v>
      </c>
      <c r="P89" s="1">
        <f t="shared" si="508"/>
        <v>0</v>
      </c>
      <c r="Q89" s="1">
        <f t="shared" si="508"/>
        <v>0</v>
      </c>
      <c r="R89" s="1">
        <f t="shared" si="508"/>
        <v>0</v>
      </c>
      <c r="S89" s="1">
        <f t="shared" si="508"/>
        <v>0</v>
      </c>
      <c r="T89" s="1">
        <f t="shared" si="508"/>
        <v>0</v>
      </c>
      <c r="U89" s="1">
        <f t="shared" si="508"/>
        <v>0</v>
      </c>
      <c r="V89" s="1">
        <f t="shared" si="508"/>
        <v>0</v>
      </c>
      <c r="W89" s="1">
        <f t="shared" si="508"/>
        <v>0</v>
      </c>
      <c r="X89" s="1">
        <f t="shared" si="508"/>
        <v>0</v>
      </c>
      <c r="Y89" s="1">
        <f t="shared" si="508"/>
        <v>0</v>
      </c>
      <c r="Z89" s="1">
        <f t="shared" si="508"/>
        <v>0</v>
      </c>
      <c r="AA89" s="1">
        <f t="shared" si="508"/>
        <v>0</v>
      </c>
      <c r="AB89" s="1">
        <f t="shared" si="508"/>
        <v>0</v>
      </c>
      <c r="AC89" s="1">
        <f t="shared" si="508"/>
        <v>0</v>
      </c>
      <c r="AD89" s="1">
        <f t="shared" si="508"/>
        <v>0</v>
      </c>
      <c r="AE89" s="1">
        <f t="shared" si="508"/>
        <v>0</v>
      </c>
      <c r="AF89" s="1">
        <f t="shared" si="508"/>
        <v>0</v>
      </c>
      <c r="AG89" s="1">
        <f t="shared" si="508"/>
        <v>0</v>
      </c>
      <c r="AH89" s="1">
        <f t="shared" si="508"/>
        <v>0</v>
      </c>
      <c r="AI89" s="1">
        <f t="shared" si="508"/>
        <v>0</v>
      </c>
      <c r="AJ89" s="1">
        <f t="shared" si="508"/>
        <v>0</v>
      </c>
      <c r="AK89" s="1">
        <f t="shared" si="508"/>
        <v>0</v>
      </c>
      <c r="AL89" s="1">
        <f t="shared" si="508"/>
        <v>0</v>
      </c>
      <c r="AM89" s="1">
        <f t="shared" ref="AM89:BR89" si="509">+(IF($A89="","",IF($D89&gt;MONTH(AM$16)-MONTH(InicioFuncion)+12*(YEAR(AM$16)-YEAR(InicioFuncion))+1,0,IF($E89&lt;=(MONTH(AM$16)-MONTH(InicioFuncion)+12*(YEAR(AM$16)-YEAR(InicioFuncion)))-$D89+IF($D89&lt;&gt;"",1,0),0,IF(AM$15&gt;$B$9,0,IF((YEAR($B$8)-YEAR($B$7))*12+(MONTH($B$8)-MONTH($B$7))+$E$14&lt;=AL$14,$C89))))*HLOOKUP(YEAR(AM$16),$E$3:$O$5,3,0)))</f>
        <v>0</v>
      </c>
      <c r="AN89" s="1">
        <f t="shared" si="509"/>
        <v>0</v>
      </c>
      <c r="AO89" s="1">
        <f t="shared" si="509"/>
        <v>0</v>
      </c>
      <c r="AP89" s="1">
        <f t="shared" si="509"/>
        <v>0</v>
      </c>
      <c r="AQ89" s="1">
        <f t="shared" si="509"/>
        <v>0</v>
      </c>
      <c r="AR89" s="1">
        <f t="shared" si="509"/>
        <v>0</v>
      </c>
      <c r="AS89" s="1">
        <f t="shared" si="509"/>
        <v>0</v>
      </c>
      <c r="AT89" s="1">
        <f t="shared" si="509"/>
        <v>0</v>
      </c>
      <c r="AU89" s="1">
        <f t="shared" si="509"/>
        <v>0</v>
      </c>
      <c r="AV89" s="1">
        <f t="shared" si="509"/>
        <v>0</v>
      </c>
      <c r="AW89" s="1">
        <f t="shared" si="509"/>
        <v>0</v>
      </c>
      <c r="AX89" s="1">
        <f t="shared" si="509"/>
        <v>0</v>
      </c>
      <c r="AY89" s="1">
        <f t="shared" si="509"/>
        <v>0</v>
      </c>
      <c r="AZ89" s="1">
        <f t="shared" si="509"/>
        <v>0</v>
      </c>
      <c r="BA89" s="1">
        <f t="shared" si="509"/>
        <v>0</v>
      </c>
      <c r="BB89" s="1">
        <f t="shared" si="509"/>
        <v>0</v>
      </c>
      <c r="BC89" s="1">
        <f t="shared" si="509"/>
        <v>0</v>
      </c>
      <c r="BD89" s="1">
        <f t="shared" si="509"/>
        <v>0</v>
      </c>
      <c r="BE89" s="1">
        <f t="shared" si="509"/>
        <v>0</v>
      </c>
      <c r="BF89" s="1">
        <f t="shared" si="509"/>
        <v>0</v>
      </c>
      <c r="BG89" s="1">
        <f t="shared" si="509"/>
        <v>0</v>
      </c>
      <c r="BH89" s="1">
        <f t="shared" si="509"/>
        <v>0</v>
      </c>
      <c r="BI89" s="1">
        <f t="shared" si="509"/>
        <v>0</v>
      </c>
      <c r="BJ89" s="1">
        <f t="shared" si="509"/>
        <v>0</v>
      </c>
      <c r="BK89" s="1">
        <f t="shared" si="509"/>
        <v>0</v>
      </c>
      <c r="BL89" s="1">
        <f t="shared" si="509"/>
        <v>0</v>
      </c>
      <c r="BM89" s="1">
        <f t="shared" si="509"/>
        <v>0</v>
      </c>
      <c r="BN89" s="1">
        <f t="shared" si="509"/>
        <v>0</v>
      </c>
      <c r="BO89" s="1">
        <f t="shared" si="509"/>
        <v>0</v>
      </c>
      <c r="BP89" s="1">
        <f t="shared" si="509"/>
        <v>0</v>
      </c>
      <c r="BQ89" s="1">
        <f t="shared" si="509"/>
        <v>0</v>
      </c>
      <c r="BR89" s="1">
        <f t="shared" si="509"/>
        <v>0</v>
      </c>
      <c r="BS89" s="1">
        <f t="shared" ref="BS89:CX89" si="510">+(IF($A89="","",IF($D89&gt;MONTH(BS$16)-MONTH(InicioFuncion)+12*(YEAR(BS$16)-YEAR(InicioFuncion))+1,0,IF($E89&lt;=(MONTH(BS$16)-MONTH(InicioFuncion)+12*(YEAR(BS$16)-YEAR(InicioFuncion)))-$D89+IF($D89&lt;&gt;"",1,0),0,IF(BS$15&gt;$B$9,0,IF((YEAR($B$8)-YEAR($B$7))*12+(MONTH($B$8)-MONTH($B$7))+$E$14&lt;=BR$14,$C89))))*HLOOKUP(YEAR(BS$16),$E$3:$O$5,3,0)))</f>
        <v>0</v>
      </c>
      <c r="BT89" s="1">
        <f t="shared" si="510"/>
        <v>0</v>
      </c>
      <c r="BU89" s="1">
        <f t="shared" si="510"/>
        <v>0</v>
      </c>
      <c r="BV89" s="1">
        <f t="shared" si="510"/>
        <v>0</v>
      </c>
      <c r="BW89" s="1">
        <f t="shared" si="510"/>
        <v>0</v>
      </c>
      <c r="BX89" s="1">
        <f t="shared" si="510"/>
        <v>0</v>
      </c>
      <c r="BY89" s="1">
        <f t="shared" si="510"/>
        <v>0</v>
      </c>
      <c r="BZ89" s="1">
        <f t="shared" si="510"/>
        <v>0</v>
      </c>
      <c r="CA89" s="1">
        <f t="shared" si="510"/>
        <v>0</v>
      </c>
      <c r="CB89" s="1">
        <f t="shared" si="510"/>
        <v>0</v>
      </c>
      <c r="CC89" s="1">
        <f t="shared" si="510"/>
        <v>0</v>
      </c>
      <c r="CD89" s="1">
        <f t="shared" si="510"/>
        <v>0</v>
      </c>
      <c r="CE89" s="1">
        <f t="shared" si="510"/>
        <v>0</v>
      </c>
      <c r="CF89" s="1">
        <f t="shared" si="510"/>
        <v>0</v>
      </c>
      <c r="CG89" s="1">
        <f t="shared" si="510"/>
        <v>0</v>
      </c>
      <c r="CH89" s="1">
        <f t="shared" si="510"/>
        <v>0</v>
      </c>
      <c r="CI89" s="1">
        <f t="shared" si="510"/>
        <v>0</v>
      </c>
      <c r="CJ89" s="1">
        <f t="shared" si="510"/>
        <v>0</v>
      </c>
      <c r="CK89" s="1">
        <f t="shared" si="510"/>
        <v>0</v>
      </c>
      <c r="CL89" s="1">
        <f t="shared" si="510"/>
        <v>0</v>
      </c>
      <c r="CM89" s="1">
        <f t="shared" si="510"/>
        <v>0</v>
      </c>
      <c r="CN89" s="1">
        <f t="shared" si="510"/>
        <v>0</v>
      </c>
      <c r="CO89" s="1">
        <f t="shared" si="510"/>
        <v>0</v>
      </c>
      <c r="CP89" s="1">
        <f t="shared" si="510"/>
        <v>0</v>
      </c>
      <c r="CQ89" s="1">
        <f t="shared" si="510"/>
        <v>0</v>
      </c>
      <c r="CR89" s="1">
        <f t="shared" si="510"/>
        <v>0</v>
      </c>
      <c r="CS89" s="1">
        <f t="shared" si="510"/>
        <v>0</v>
      </c>
      <c r="CT89" s="1">
        <f t="shared" si="510"/>
        <v>0</v>
      </c>
      <c r="CU89" s="1">
        <f t="shared" si="510"/>
        <v>0</v>
      </c>
      <c r="CV89" s="1">
        <f t="shared" si="510"/>
        <v>0</v>
      </c>
      <c r="CW89" s="1">
        <f t="shared" si="510"/>
        <v>0</v>
      </c>
      <c r="CX89" s="1">
        <f t="shared" si="510"/>
        <v>0</v>
      </c>
      <c r="CY89" s="1">
        <f t="shared" ref="CY89:DV89" si="511">+(IF($A89="","",IF($D89&gt;MONTH(CY$16)-MONTH(InicioFuncion)+12*(YEAR(CY$16)-YEAR(InicioFuncion))+1,0,IF($E89&lt;=(MONTH(CY$16)-MONTH(InicioFuncion)+12*(YEAR(CY$16)-YEAR(InicioFuncion)))-$D89+IF($D89&lt;&gt;"",1,0),0,IF(CY$15&gt;$B$9,0,IF((YEAR($B$8)-YEAR($B$7))*12+(MONTH($B$8)-MONTH($B$7))+$E$14&lt;=CX$14,$C89))))*HLOOKUP(YEAR(CY$16),$E$3:$O$5,3,0)))</f>
        <v>0</v>
      </c>
      <c r="CZ89" s="1">
        <f t="shared" si="511"/>
        <v>0</v>
      </c>
      <c r="DA89" s="1">
        <f t="shared" si="511"/>
        <v>0</v>
      </c>
      <c r="DB89" s="1">
        <f t="shared" si="511"/>
        <v>0</v>
      </c>
      <c r="DC89" s="1">
        <f t="shared" si="511"/>
        <v>0</v>
      </c>
      <c r="DD89" s="1">
        <f t="shared" si="511"/>
        <v>0</v>
      </c>
      <c r="DE89" s="1">
        <f t="shared" si="511"/>
        <v>0</v>
      </c>
      <c r="DF89" s="1">
        <f t="shared" si="511"/>
        <v>0</v>
      </c>
      <c r="DG89" s="1">
        <f t="shared" si="511"/>
        <v>0</v>
      </c>
      <c r="DH89" s="1">
        <f t="shared" si="511"/>
        <v>0</v>
      </c>
      <c r="DI89" s="1">
        <f t="shared" si="511"/>
        <v>0</v>
      </c>
      <c r="DJ89" s="1">
        <f t="shared" si="511"/>
        <v>0</v>
      </c>
      <c r="DK89" s="1">
        <f t="shared" si="511"/>
        <v>0</v>
      </c>
      <c r="DL89" s="1">
        <f t="shared" si="511"/>
        <v>0</v>
      </c>
      <c r="DM89" s="1">
        <f t="shared" si="511"/>
        <v>0</v>
      </c>
      <c r="DN89" s="1">
        <f t="shared" si="511"/>
        <v>0</v>
      </c>
      <c r="DO89" s="1">
        <f t="shared" si="511"/>
        <v>0</v>
      </c>
      <c r="DP89" s="1">
        <f t="shared" si="511"/>
        <v>0</v>
      </c>
      <c r="DQ89" s="1">
        <f t="shared" si="511"/>
        <v>0</v>
      </c>
      <c r="DR89" s="1">
        <f t="shared" si="511"/>
        <v>0</v>
      </c>
      <c r="DS89" s="1">
        <f t="shared" si="511"/>
        <v>0</v>
      </c>
      <c r="DT89" s="1">
        <f t="shared" si="511"/>
        <v>0</v>
      </c>
      <c r="DU89" s="1">
        <f t="shared" si="511"/>
        <v>0</v>
      </c>
      <c r="DV89" s="1">
        <f t="shared" si="511"/>
        <v>0</v>
      </c>
    </row>
    <row r="90" spans="1:126" x14ac:dyDescent="0.25">
      <c r="A90" t="s">
        <v>272</v>
      </c>
      <c r="B90" s="62">
        <f>+IF(Tipologia_Campo="LTE No Lic BH Satelital",Detalle!H964,0)</f>
        <v>0</v>
      </c>
      <c r="C90" s="11"/>
      <c r="D90" s="35"/>
      <c r="E90" s="35">
        <f t="shared" si="488"/>
        <v>56</v>
      </c>
      <c r="F90" s="1">
        <f t="shared" ref="F90:BQ91" si="512">+IF($A90="","",IF($D90=F$15,$B90+IF(MONTH($B$8)-MONTH($B$7)+$E$14=E$14,$C90,0),0))</f>
        <v>0</v>
      </c>
      <c r="G90" s="1">
        <f t="shared" si="512"/>
        <v>0</v>
      </c>
      <c r="H90" s="1">
        <f t="shared" si="512"/>
        <v>0</v>
      </c>
      <c r="I90" s="1">
        <f t="shared" si="512"/>
        <v>0</v>
      </c>
      <c r="J90" s="1">
        <f t="shared" si="512"/>
        <v>0</v>
      </c>
      <c r="K90" s="1">
        <f t="shared" si="512"/>
        <v>0</v>
      </c>
      <c r="L90" s="1">
        <f t="shared" si="512"/>
        <v>0</v>
      </c>
      <c r="M90" s="1">
        <f t="shared" si="512"/>
        <v>0</v>
      </c>
      <c r="N90" s="1">
        <f t="shared" si="512"/>
        <v>0</v>
      </c>
      <c r="O90" s="1">
        <f t="shared" si="512"/>
        <v>0</v>
      </c>
      <c r="P90" s="1">
        <f t="shared" si="512"/>
        <v>0</v>
      </c>
      <c r="Q90" s="1">
        <f t="shared" si="512"/>
        <v>0</v>
      </c>
      <c r="R90" s="1">
        <f t="shared" si="512"/>
        <v>0</v>
      </c>
      <c r="S90" s="1">
        <f t="shared" si="512"/>
        <v>0</v>
      </c>
      <c r="T90" s="1">
        <f t="shared" si="512"/>
        <v>0</v>
      </c>
      <c r="U90" s="1">
        <f t="shared" si="512"/>
        <v>0</v>
      </c>
      <c r="V90" s="1">
        <f t="shared" si="512"/>
        <v>0</v>
      </c>
      <c r="W90" s="1">
        <f t="shared" si="512"/>
        <v>0</v>
      </c>
      <c r="X90" s="1">
        <f t="shared" si="512"/>
        <v>0</v>
      </c>
      <c r="Y90" s="1">
        <f t="shared" si="512"/>
        <v>0</v>
      </c>
      <c r="Z90" s="1">
        <f t="shared" si="512"/>
        <v>0</v>
      </c>
      <c r="AA90" s="1">
        <f t="shared" si="512"/>
        <v>0</v>
      </c>
      <c r="AB90" s="1">
        <f t="shared" si="512"/>
        <v>0</v>
      </c>
      <c r="AC90" s="1">
        <f t="shared" si="512"/>
        <v>0</v>
      </c>
      <c r="AD90" s="1">
        <f t="shared" si="512"/>
        <v>0</v>
      </c>
      <c r="AE90" s="1">
        <f t="shared" si="512"/>
        <v>0</v>
      </c>
      <c r="AF90" s="1">
        <f t="shared" si="512"/>
        <v>0</v>
      </c>
      <c r="AG90" s="1">
        <f t="shared" si="512"/>
        <v>0</v>
      </c>
      <c r="AH90" s="1">
        <f t="shared" si="512"/>
        <v>0</v>
      </c>
      <c r="AI90" s="1">
        <f t="shared" si="512"/>
        <v>0</v>
      </c>
      <c r="AJ90" s="1">
        <f t="shared" si="512"/>
        <v>0</v>
      </c>
      <c r="AK90" s="1">
        <f t="shared" si="512"/>
        <v>0</v>
      </c>
      <c r="AL90" s="1">
        <f t="shared" si="512"/>
        <v>0</v>
      </c>
      <c r="AM90" s="1">
        <f t="shared" si="512"/>
        <v>0</v>
      </c>
      <c r="AN90" s="1">
        <f t="shared" si="512"/>
        <v>0</v>
      </c>
      <c r="AO90" s="1">
        <f t="shared" si="512"/>
        <v>0</v>
      </c>
      <c r="AP90" s="1">
        <f t="shared" si="512"/>
        <v>0</v>
      </c>
      <c r="AQ90" s="1">
        <f t="shared" si="512"/>
        <v>0</v>
      </c>
      <c r="AR90" s="1">
        <f t="shared" si="512"/>
        <v>0</v>
      </c>
      <c r="AS90" s="1">
        <f t="shared" si="512"/>
        <v>0</v>
      </c>
      <c r="AT90" s="1">
        <f t="shared" si="512"/>
        <v>0</v>
      </c>
      <c r="AU90" s="1">
        <f t="shared" si="512"/>
        <v>0</v>
      </c>
      <c r="AV90" s="1">
        <f t="shared" si="512"/>
        <v>0</v>
      </c>
      <c r="AW90" s="1">
        <f t="shared" si="512"/>
        <v>0</v>
      </c>
      <c r="AX90" s="1">
        <f t="shared" si="512"/>
        <v>0</v>
      </c>
      <c r="AY90" s="1">
        <f t="shared" si="512"/>
        <v>0</v>
      </c>
      <c r="AZ90" s="1">
        <f t="shared" si="512"/>
        <v>0</v>
      </c>
      <c r="BA90" s="1">
        <f t="shared" si="512"/>
        <v>0</v>
      </c>
      <c r="BB90" s="1">
        <f t="shared" si="512"/>
        <v>0</v>
      </c>
      <c r="BC90" s="1">
        <f t="shared" si="512"/>
        <v>0</v>
      </c>
      <c r="BD90" s="1">
        <f t="shared" si="512"/>
        <v>0</v>
      </c>
      <c r="BE90" s="1">
        <f t="shared" si="512"/>
        <v>0</v>
      </c>
      <c r="BF90" s="1">
        <f t="shared" si="512"/>
        <v>0</v>
      </c>
      <c r="BG90" s="1">
        <f t="shared" si="512"/>
        <v>0</v>
      </c>
      <c r="BH90" s="1">
        <f t="shared" si="512"/>
        <v>0</v>
      </c>
      <c r="BI90" s="1">
        <f t="shared" si="512"/>
        <v>0</v>
      </c>
      <c r="BJ90" s="1">
        <f t="shared" si="512"/>
        <v>0</v>
      </c>
      <c r="BK90" s="1">
        <f t="shared" si="512"/>
        <v>0</v>
      </c>
      <c r="BL90" s="1">
        <f t="shared" si="512"/>
        <v>0</v>
      </c>
      <c r="BM90" s="1">
        <f t="shared" si="512"/>
        <v>0</v>
      </c>
      <c r="BN90" s="1">
        <f t="shared" si="512"/>
        <v>0</v>
      </c>
      <c r="BO90" s="1">
        <f t="shared" si="512"/>
        <v>0</v>
      </c>
      <c r="BP90" s="1">
        <f t="shared" si="512"/>
        <v>0</v>
      </c>
      <c r="BQ90" s="1">
        <f t="shared" si="512"/>
        <v>0</v>
      </c>
      <c r="BR90" s="1">
        <f t="shared" ref="BR90:DV91" si="513">+IF($A90="","",IF($D90=BR$15,$B90+IF(MONTH($B$8)-MONTH($B$7)+$E$14=BQ$14,$C90,0),0))</f>
        <v>0</v>
      </c>
      <c r="BS90" s="1">
        <f t="shared" si="513"/>
        <v>0</v>
      </c>
      <c r="BT90" s="1">
        <f t="shared" si="513"/>
        <v>0</v>
      </c>
      <c r="BU90" s="1">
        <f t="shared" si="513"/>
        <v>0</v>
      </c>
      <c r="BV90" s="1">
        <f t="shared" si="513"/>
        <v>0</v>
      </c>
      <c r="BW90" s="1">
        <f t="shared" si="513"/>
        <v>0</v>
      </c>
      <c r="BX90" s="1">
        <f t="shared" si="513"/>
        <v>0</v>
      </c>
      <c r="BY90" s="1">
        <f t="shared" si="513"/>
        <v>0</v>
      </c>
      <c r="BZ90" s="1">
        <f t="shared" si="513"/>
        <v>0</v>
      </c>
      <c r="CA90" s="1">
        <f t="shared" si="513"/>
        <v>0</v>
      </c>
      <c r="CB90" s="1">
        <f t="shared" si="513"/>
        <v>0</v>
      </c>
      <c r="CC90" s="1">
        <f t="shared" si="513"/>
        <v>0</v>
      </c>
      <c r="CD90" s="1">
        <f t="shared" si="513"/>
        <v>0</v>
      </c>
      <c r="CE90" s="1">
        <f t="shared" si="513"/>
        <v>0</v>
      </c>
      <c r="CF90" s="1">
        <f t="shared" si="513"/>
        <v>0</v>
      </c>
      <c r="CG90" s="1">
        <f t="shared" si="513"/>
        <v>0</v>
      </c>
      <c r="CH90" s="1">
        <f t="shared" si="513"/>
        <v>0</v>
      </c>
      <c r="CI90" s="1">
        <f t="shared" si="513"/>
        <v>0</v>
      </c>
      <c r="CJ90" s="1">
        <f t="shared" si="513"/>
        <v>0</v>
      </c>
      <c r="CK90" s="1">
        <f t="shared" si="513"/>
        <v>0</v>
      </c>
      <c r="CL90" s="1">
        <f t="shared" si="513"/>
        <v>0</v>
      </c>
      <c r="CM90" s="1">
        <f t="shared" si="513"/>
        <v>0</v>
      </c>
      <c r="CN90" s="1">
        <f t="shared" si="513"/>
        <v>0</v>
      </c>
      <c r="CO90" s="1">
        <f t="shared" si="513"/>
        <v>0</v>
      </c>
      <c r="CP90" s="1">
        <f t="shared" si="513"/>
        <v>0</v>
      </c>
      <c r="CQ90" s="1">
        <f t="shared" si="513"/>
        <v>0</v>
      </c>
      <c r="CR90" s="1">
        <f t="shared" si="513"/>
        <v>0</v>
      </c>
      <c r="CS90" s="1">
        <f t="shared" si="513"/>
        <v>0</v>
      </c>
      <c r="CT90" s="1">
        <f t="shared" si="513"/>
        <v>0</v>
      </c>
      <c r="CU90" s="1">
        <f t="shared" si="513"/>
        <v>0</v>
      </c>
      <c r="CV90" s="1">
        <f t="shared" si="513"/>
        <v>0</v>
      </c>
      <c r="CW90" s="1">
        <f t="shared" si="513"/>
        <v>0</v>
      </c>
      <c r="CX90" s="1">
        <f t="shared" si="513"/>
        <v>0</v>
      </c>
      <c r="CY90" s="1">
        <f t="shared" si="513"/>
        <v>0</v>
      </c>
      <c r="CZ90" s="1">
        <f t="shared" si="513"/>
        <v>0</v>
      </c>
      <c r="DA90" s="1">
        <f t="shared" si="513"/>
        <v>0</v>
      </c>
      <c r="DB90" s="1">
        <f t="shared" si="513"/>
        <v>0</v>
      </c>
      <c r="DC90" s="1">
        <f t="shared" si="513"/>
        <v>0</v>
      </c>
      <c r="DD90" s="1">
        <f t="shared" si="513"/>
        <v>0</v>
      </c>
      <c r="DE90" s="1">
        <f t="shared" si="513"/>
        <v>0</v>
      </c>
      <c r="DF90" s="1">
        <f t="shared" si="513"/>
        <v>0</v>
      </c>
      <c r="DG90" s="1">
        <f t="shared" si="513"/>
        <v>0</v>
      </c>
      <c r="DH90" s="1">
        <f t="shared" si="513"/>
        <v>0</v>
      </c>
      <c r="DI90" s="1">
        <f t="shared" si="513"/>
        <v>0</v>
      </c>
      <c r="DJ90" s="1">
        <f t="shared" si="513"/>
        <v>0</v>
      </c>
      <c r="DK90" s="1">
        <f t="shared" si="513"/>
        <v>0</v>
      </c>
      <c r="DL90" s="1">
        <f t="shared" si="513"/>
        <v>0</v>
      </c>
      <c r="DM90" s="1">
        <f t="shared" si="513"/>
        <v>0</v>
      </c>
      <c r="DN90" s="1">
        <f t="shared" si="513"/>
        <v>0</v>
      </c>
      <c r="DO90" s="1">
        <f t="shared" si="513"/>
        <v>0</v>
      </c>
      <c r="DP90" s="1">
        <f t="shared" si="513"/>
        <v>0</v>
      </c>
      <c r="DQ90" s="1">
        <f t="shared" si="513"/>
        <v>0</v>
      </c>
      <c r="DR90" s="1">
        <f t="shared" si="513"/>
        <v>0</v>
      </c>
      <c r="DS90" s="1">
        <f t="shared" si="513"/>
        <v>0</v>
      </c>
      <c r="DT90" s="1">
        <f t="shared" si="513"/>
        <v>0</v>
      </c>
      <c r="DU90" s="1">
        <f t="shared" si="513"/>
        <v>0</v>
      </c>
      <c r="DV90" s="1">
        <f t="shared" si="513"/>
        <v>0</v>
      </c>
    </row>
    <row r="91" spans="1:126" x14ac:dyDescent="0.25">
      <c r="A91" t="s">
        <v>114</v>
      </c>
      <c r="B91" s="62">
        <f>+IF(Tipologia_Campo="LTE No Lic BH Satelital",Detalle!P965,0)</f>
        <v>0</v>
      </c>
      <c r="C91" s="11"/>
      <c r="D91" s="35"/>
      <c r="E91" s="35">
        <f t="shared" si="488"/>
        <v>56</v>
      </c>
      <c r="F91" s="1">
        <f t="shared" ref="F91" si="514">+IF($A91="","",IF($D91=F$15,$B91+IF(MONTH($B$8)-MONTH($B$7)+$E$14=E$14,$C91,0),0))</f>
        <v>0</v>
      </c>
      <c r="G91" s="1">
        <f t="shared" si="512"/>
        <v>0</v>
      </c>
      <c r="H91" s="1">
        <f t="shared" si="512"/>
        <v>0</v>
      </c>
      <c r="I91" s="1">
        <f t="shared" si="512"/>
        <v>0</v>
      </c>
      <c r="J91" s="1">
        <f t="shared" si="512"/>
        <v>0</v>
      </c>
      <c r="K91" s="1">
        <f t="shared" si="512"/>
        <v>0</v>
      </c>
      <c r="L91" s="1">
        <f t="shared" si="512"/>
        <v>0</v>
      </c>
      <c r="M91" s="1">
        <f t="shared" si="512"/>
        <v>0</v>
      </c>
      <c r="N91" s="1">
        <f t="shared" si="512"/>
        <v>0</v>
      </c>
      <c r="O91" s="1">
        <f t="shared" si="512"/>
        <v>0</v>
      </c>
      <c r="P91" s="1">
        <f t="shared" si="512"/>
        <v>0</v>
      </c>
      <c r="Q91" s="1">
        <f t="shared" si="512"/>
        <v>0</v>
      </c>
      <c r="R91" s="1">
        <f t="shared" si="512"/>
        <v>0</v>
      </c>
      <c r="S91" s="1">
        <f t="shared" si="512"/>
        <v>0</v>
      </c>
      <c r="T91" s="1">
        <f t="shared" si="512"/>
        <v>0</v>
      </c>
      <c r="U91" s="1">
        <f t="shared" si="512"/>
        <v>0</v>
      </c>
      <c r="V91" s="1">
        <f t="shared" si="512"/>
        <v>0</v>
      </c>
      <c r="W91" s="1">
        <f t="shared" si="512"/>
        <v>0</v>
      </c>
      <c r="X91" s="1">
        <f t="shared" si="512"/>
        <v>0</v>
      </c>
      <c r="Y91" s="1">
        <f t="shared" si="512"/>
        <v>0</v>
      </c>
      <c r="Z91" s="1">
        <f t="shared" si="512"/>
        <v>0</v>
      </c>
      <c r="AA91" s="1">
        <f t="shared" si="512"/>
        <v>0</v>
      </c>
      <c r="AB91" s="1">
        <f t="shared" si="512"/>
        <v>0</v>
      </c>
      <c r="AC91" s="1">
        <f t="shared" si="512"/>
        <v>0</v>
      </c>
      <c r="AD91" s="1">
        <f t="shared" si="512"/>
        <v>0</v>
      </c>
      <c r="AE91" s="1">
        <f t="shared" si="512"/>
        <v>0</v>
      </c>
      <c r="AF91" s="1">
        <f t="shared" si="512"/>
        <v>0</v>
      </c>
      <c r="AG91" s="1">
        <f t="shared" si="512"/>
        <v>0</v>
      </c>
      <c r="AH91" s="1">
        <f t="shared" si="512"/>
        <v>0</v>
      </c>
      <c r="AI91" s="1">
        <f t="shared" si="512"/>
        <v>0</v>
      </c>
      <c r="AJ91" s="1">
        <f t="shared" si="512"/>
        <v>0</v>
      </c>
      <c r="AK91" s="1">
        <f t="shared" si="512"/>
        <v>0</v>
      </c>
      <c r="AL91" s="1">
        <f t="shared" si="512"/>
        <v>0</v>
      </c>
      <c r="AM91" s="1">
        <f t="shared" si="512"/>
        <v>0</v>
      </c>
      <c r="AN91" s="1">
        <f t="shared" si="512"/>
        <v>0</v>
      </c>
      <c r="AO91" s="1">
        <f t="shared" si="512"/>
        <v>0</v>
      </c>
      <c r="AP91" s="1">
        <f t="shared" si="512"/>
        <v>0</v>
      </c>
      <c r="AQ91" s="1">
        <f t="shared" si="512"/>
        <v>0</v>
      </c>
      <c r="AR91" s="1">
        <f t="shared" si="512"/>
        <v>0</v>
      </c>
      <c r="AS91" s="1">
        <f t="shared" si="512"/>
        <v>0</v>
      </c>
      <c r="AT91" s="1">
        <f t="shared" si="512"/>
        <v>0</v>
      </c>
      <c r="AU91" s="1">
        <f t="shared" si="512"/>
        <v>0</v>
      </c>
      <c r="AV91" s="1">
        <f t="shared" si="512"/>
        <v>0</v>
      </c>
      <c r="AW91" s="1">
        <f t="shared" si="512"/>
        <v>0</v>
      </c>
      <c r="AX91" s="1">
        <f t="shared" si="512"/>
        <v>0</v>
      </c>
      <c r="AY91" s="1">
        <f t="shared" si="512"/>
        <v>0</v>
      </c>
      <c r="AZ91" s="1">
        <f t="shared" si="512"/>
        <v>0</v>
      </c>
      <c r="BA91" s="1">
        <f t="shared" si="512"/>
        <v>0</v>
      </c>
      <c r="BB91" s="1">
        <f t="shared" si="512"/>
        <v>0</v>
      </c>
      <c r="BC91" s="1">
        <f t="shared" si="512"/>
        <v>0</v>
      </c>
      <c r="BD91" s="1">
        <f t="shared" si="512"/>
        <v>0</v>
      </c>
      <c r="BE91" s="1">
        <f t="shared" si="512"/>
        <v>0</v>
      </c>
      <c r="BF91" s="1">
        <f t="shared" si="512"/>
        <v>0</v>
      </c>
      <c r="BG91" s="1">
        <f t="shared" si="512"/>
        <v>0</v>
      </c>
      <c r="BH91" s="1">
        <f t="shared" si="512"/>
        <v>0</v>
      </c>
      <c r="BI91" s="1">
        <f t="shared" si="512"/>
        <v>0</v>
      </c>
      <c r="BJ91" s="1">
        <f t="shared" si="512"/>
        <v>0</v>
      </c>
      <c r="BK91" s="1">
        <f t="shared" si="512"/>
        <v>0</v>
      </c>
      <c r="BL91" s="1">
        <f t="shared" si="512"/>
        <v>0</v>
      </c>
      <c r="BM91" s="1">
        <f t="shared" si="512"/>
        <v>0</v>
      </c>
      <c r="BN91" s="1">
        <f t="shared" si="512"/>
        <v>0</v>
      </c>
      <c r="BO91" s="1">
        <f t="shared" si="512"/>
        <v>0</v>
      </c>
      <c r="BP91" s="1">
        <f t="shared" si="512"/>
        <v>0</v>
      </c>
      <c r="BQ91" s="1">
        <f t="shared" si="512"/>
        <v>0</v>
      </c>
      <c r="BR91" s="1">
        <f t="shared" si="513"/>
        <v>0</v>
      </c>
      <c r="BS91" s="1">
        <f t="shared" si="513"/>
        <v>0</v>
      </c>
      <c r="BT91" s="1">
        <f t="shared" si="513"/>
        <v>0</v>
      </c>
      <c r="BU91" s="1">
        <f t="shared" si="513"/>
        <v>0</v>
      </c>
      <c r="BV91" s="1">
        <f t="shared" si="513"/>
        <v>0</v>
      </c>
      <c r="BW91" s="1">
        <f t="shared" si="513"/>
        <v>0</v>
      </c>
      <c r="BX91" s="1">
        <f t="shared" si="513"/>
        <v>0</v>
      </c>
      <c r="BY91" s="1">
        <f t="shared" si="513"/>
        <v>0</v>
      </c>
      <c r="BZ91" s="1">
        <f t="shared" si="513"/>
        <v>0</v>
      </c>
      <c r="CA91" s="1">
        <f t="shared" si="513"/>
        <v>0</v>
      </c>
      <c r="CB91" s="1">
        <f t="shared" si="513"/>
        <v>0</v>
      </c>
      <c r="CC91" s="1">
        <f t="shared" si="513"/>
        <v>0</v>
      </c>
      <c r="CD91" s="1">
        <f t="shared" si="513"/>
        <v>0</v>
      </c>
      <c r="CE91" s="1">
        <f t="shared" si="513"/>
        <v>0</v>
      </c>
      <c r="CF91" s="1">
        <f t="shared" si="513"/>
        <v>0</v>
      </c>
      <c r="CG91" s="1">
        <f t="shared" si="513"/>
        <v>0</v>
      </c>
      <c r="CH91" s="1">
        <f t="shared" si="513"/>
        <v>0</v>
      </c>
      <c r="CI91" s="1">
        <f t="shared" si="513"/>
        <v>0</v>
      </c>
      <c r="CJ91" s="1">
        <f t="shared" si="513"/>
        <v>0</v>
      </c>
      <c r="CK91" s="1">
        <f t="shared" si="513"/>
        <v>0</v>
      </c>
      <c r="CL91" s="1">
        <f t="shared" si="513"/>
        <v>0</v>
      </c>
      <c r="CM91" s="1">
        <f t="shared" si="513"/>
        <v>0</v>
      </c>
      <c r="CN91" s="1">
        <f t="shared" si="513"/>
        <v>0</v>
      </c>
      <c r="CO91" s="1">
        <f t="shared" si="513"/>
        <v>0</v>
      </c>
      <c r="CP91" s="1">
        <f t="shared" si="513"/>
        <v>0</v>
      </c>
      <c r="CQ91" s="1">
        <f t="shared" si="513"/>
        <v>0</v>
      </c>
      <c r="CR91" s="1">
        <f t="shared" si="513"/>
        <v>0</v>
      </c>
      <c r="CS91" s="1">
        <f t="shared" si="513"/>
        <v>0</v>
      </c>
      <c r="CT91" s="1">
        <f t="shared" si="513"/>
        <v>0</v>
      </c>
      <c r="CU91" s="1">
        <f t="shared" si="513"/>
        <v>0</v>
      </c>
      <c r="CV91" s="1">
        <f t="shared" si="513"/>
        <v>0</v>
      </c>
      <c r="CW91" s="1">
        <f t="shared" si="513"/>
        <v>0</v>
      </c>
      <c r="CX91" s="1">
        <f t="shared" si="513"/>
        <v>0</v>
      </c>
      <c r="CY91" s="1">
        <f t="shared" si="513"/>
        <v>0</v>
      </c>
      <c r="CZ91" s="1">
        <f t="shared" si="513"/>
        <v>0</v>
      </c>
      <c r="DA91" s="1">
        <f t="shared" si="513"/>
        <v>0</v>
      </c>
      <c r="DB91" s="1">
        <f t="shared" si="513"/>
        <v>0</v>
      </c>
      <c r="DC91" s="1">
        <f t="shared" si="513"/>
        <v>0</v>
      </c>
      <c r="DD91" s="1">
        <f t="shared" si="513"/>
        <v>0</v>
      </c>
      <c r="DE91" s="1">
        <f t="shared" si="513"/>
        <v>0</v>
      </c>
      <c r="DF91" s="1">
        <f t="shared" si="513"/>
        <v>0</v>
      </c>
      <c r="DG91" s="1">
        <f t="shared" si="513"/>
        <v>0</v>
      </c>
      <c r="DH91" s="1">
        <f t="shared" si="513"/>
        <v>0</v>
      </c>
      <c r="DI91" s="1">
        <f t="shared" si="513"/>
        <v>0</v>
      </c>
      <c r="DJ91" s="1">
        <f t="shared" si="513"/>
        <v>0</v>
      </c>
      <c r="DK91" s="1">
        <f t="shared" si="513"/>
        <v>0</v>
      </c>
      <c r="DL91" s="1">
        <f t="shared" si="513"/>
        <v>0</v>
      </c>
      <c r="DM91" s="1">
        <f t="shared" si="513"/>
        <v>0</v>
      </c>
      <c r="DN91" s="1">
        <f t="shared" si="513"/>
        <v>0</v>
      </c>
      <c r="DO91" s="1">
        <f t="shared" si="513"/>
        <v>0</v>
      </c>
      <c r="DP91" s="1">
        <f t="shared" si="513"/>
        <v>0</v>
      </c>
      <c r="DQ91" s="1">
        <f t="shared" si="513"/>
        <v>0</v>
      </c>
      <c r="DR91" s="1">
        <f t="shared" si="513"/>
        <v>0</v>
      </c>
      <c r="DS91" s="1">
        <f t="shared" si="513"/>
        <v>0</v>
      </c>
      <c r="DT91" s="1">
        <f t="shared" si="513"/>
        <v>0</v>
      </c>
      <c r="DU91" s="1">
        <f t="shared" si="513"/>
        <v>0</v>
      </c>
      <c r="DV91" s="1">
        <f t="shared" si="513"/>
        <v>0</v>
      </c>
    </row>
    <row r="92" spans="1:126" x14ac:dyDescent="0.25">
      <c r="B92" s="32"/>
      <c r="C92" s="11"/>
      <c r="D92" s="1"/>
      <c r="E92" s="1"/>
      <c r="F92" s="1"/>
      <c r="G92" s="1" t="str">
        <f t="shared" ref="G92:AL92" si="515">+(IF($A92="","",IF($D92&gt;MONTH(G$16)-MONTH(InicioFuncion)+12*(YEAR(G$16)-YEAR(InicioFuncion))+1,0,IF($E92&lt;=(MONTH(G$16)-MONTH(InicioFuncion)+12*(YEAR(G$16)-YEAR(InicioFuncion)))-$D92+1,0,IF(G$15&gt;$B$9,0,IF((YEAR($B$8)-YEAR($B$7))*12+(MONTH($B$8)-MONTH($B$7))+$E$14&lt;=F$14,$C92))))*HLOOKUP(YEAR(G$16),$E$3:$O$5,3,0)))</f>
        <v/>
      </c>
      <c r="H92" s="1" t="str">
        <f t="shared" si="515"/>
        <v/>
      </c>
      <c r="I92" s="1" t="str">
        <f t="shared" si="515"/>
        <v/>
      </c>
      <c r="J92" s="1" t="str">
        <f t="shared" si="515"/>
        <v/>
      </c>
      <c r="K92" s="1" t="str">
        <f t="shared" si="515"/>
        <v/>
      </c>
      <c r="L92" s="1" t="str">
        <f t="shared" si="515"/>
        <v/>
      </c>
      <c r="M92" s="1" t="str">
        <f t="shared" si="515"/>
        <v/>
      </c>
      <c r="N92" s="1" t="str">
        <f t="shared" si="515"/>
        <v/>
      </c>
      <c r="O92" s="1" t="str">
        <f t="shared" si="515"/>
        <v/>
      </c>
      <c r="P92" s="1" t="str">
        <f t="shared" si="515"/>
        <v/>
      </c>
      <c r="Q92" s="1" t="str">
        <f t="shared" si="515"/>
        <v/>
      </c>
      <c r="R92" s="1" t="str">
        <f t="shared" si="515"/>
        <v/>
      </c>
      <c r="S92" s="1" t="str">
        <f t="shared" si="515"/>
        <v/>
      </c>
      <c r="T92" s="1" t="str">
        <f t="shared" si="515"/>
        <v/>
      </c>
      <c r="U92" s="1" t="str">
        <f t="shared" si="515"/>
        <v/>
      </c>
      <c r="V92" s="1" t="str">
        <f t="shared" si="515"/>
        <v/>
      </c>
      <c r="W92" s="1" t="str">
        <f t="shared" si="515"/>
        <v/>
      </c>
      <c r="X92" s="1" t="str">
        <f t="shared" si="515"/>
        <v/>
      </c>
      <c r="Y92" s="1" t="str">
        <f t="shared" si="515"/>
        <v/>
      </c>
      <c r="Z92" s="1" t="str">
        <f t="shared" si="515"/>
        <v/>
      </c>
      <c r="AA92" s="1" t="str">
        <f t="shared" si="515"/>
        <v/>
      </c>
      <c r="AB92" s="1" t="str">
        <f t="shared" si="515"/>
        <v/>
      </c>
      <c r="AC92" s="1" t="str">
        <f t="shared" si="515"/>
        <v/>
      </c>
      <c r="AD92" s="1" t="str">
        <f t="shared" si="515"/>
        <v/>
      </c>
      <c r="AE92" s="1" t="str">
        <f t="shared" si="515"/>
        <v/>
      </c>
      <c r="AF92" s="1" t="str">
        <f t="shared" si="515"/>
        <v/>
      </c>
      <c r="AG92" s="1" t="str">
        <f t="shared" si="515"/>
        <v/>
      </c>
      <c r="AH92" s="1" t="str">
        <f t="shared" si="515"/>
        <v/>
      </c>
      <c r="AI92" s="1" t="str">
        <f t="shared" si="515"/>
        <v/>
      </c>
      <c r="AJ92" s="1" t="str">
        <f t="shared" si="515"/>
        <v/>
      </c>
      <c r="AK92" s="1" t="str">
        <f t="shared" si="515"/>
        <v/>
      </c>
      <c r="AL92" s="1" t="str">
        <f t="shared" si="515"/>
        <v/>
      </c>
      <c r="AM92" s="1" t="str">
        <f t="shared" ref="AM92:BR92" si="516">+(IF($A92="","",IF($D92&gt;MONTH(AM$16)-MONTH(InicioFuncion)+12*(YEAR(AM$16)-YEAR(InicioFuncion))+1,0,IF($E92&lt;=(MONTH(AM$16)-MONTH(InicioFuncion)+12*(YEAR(AM$16)-YEAR(InicioFuncion)))-$D92+1,0,IF(AM$15&gt;$B$9,0,IF((YEAR($B$8)-YEAR($B$7))*12+(MONTH($B$8)-MONTH($B$7))+$E$14&lt;=AL$14,$C92))))*HLOOKUP(YEAR(AM$16),$E$3:$O$5,3,0)))</f>
        <v/>
      </c>
      <c r="AN92" s="1" t="str">
        <f t="shared" si="516"/>
        <v/>
      </c>
      <c r="AO92" s="1" t="str">
        <f t="shared" si="516"/>
        <v/>
      </c>
      <c r="AP92" s="1" t="str">
        <f t="shared" si="516"/>
        <v/>
      </c>
      <c r="AQ92" s="1" t="str">
        <f t="shared" si="516"/>
        <v/>
      </c>
      <c r="AR92" s="1" t="str">
        <f t="shared" si="516"/>
        <v/>
      </c>
      <c r="AS92" s="1" t="str">
        <f t="shared" si="516"/>
        <v/>
      </c>
      <c r="AT92" s="1" t="str">
        <f t="shared" si="516"/>
        <v/>
      </c>
      <c r="AU92" s="1" t="str">
        <f t="shared" si="516"/>
        <v/>
      </c>
      <c r="AV92" s="1" t="str">
        <f t="shared" si="516"/>
        <v/>
      </c>
      <c r="AW92" s="1" t="str">
        <f t="shared" si="516"/>
        <v/>
      </c>
      <c r="AX92" s="1" t="str">
        <f t="shared" si="516"/>
        <v/>
      </c>
      <c r="AY92" s="1" t="str">
        <f t="shared" si="516"/>
        <v/>
      </c>
      <c r="AZ92" s="1" t="str">
        <f t="shared" si="516"/>
        <v/>
      </c>
      <c r="BA92" s="1" t="str">
        <f t="shared" si="516"/>
        <v/>
      </c>
      <c r="BB92" s="1" t="str">
        <f t="shared" si="516"/>
        <v/>
      </c>
      <c r="BC92" s="1" t="str">
        <f t="shared" si="516"/>
        <v/>
      </c>
      <c r="BD92" s="1" t="str">
        <f t="shared" si="516"/>
        <v/>
      </c>
      <c r="BE92" s="1" t="str">
        <f t="shared" si="516"/>
        <v/>
      </c>
      <c r="BF92" s="1" t="str">
        <f t="shared" si="516"/>
        <v/>
      </c>
      <c r="BG92" s="1" t="str">
        <f t="shared" si="516"/>
        <v/>
      </c>
      <c r="BH92" s="1" t="str">
        <f t="shared" si="516"/>
        <v/>
      </c>
      <c r="BI92" s="1" t="str">
        <f t="shared" si="516"/>
        <v/>
      </c>
      <c r="BJ92" s="1" t="str">
        <f t="shared" si="516"/>
        <v/>
      </c>
      <c r="BK92" s="1" t="str">
        <f t="shared" si="516"/>
        <v/>
      </c>
      <c r="BL92" s="1" t="str">
        <f t="shared" si="516"/>
        <v/>
      </c>
      <c r="BM92" s="1" t="str">
        <f t="shared" si="516"/>
        <v/>
      </c>
      <c r="BN92" s="1" t="str">
        <f t="shared" si="516"/>
        <v/>
      </c>
      <c r="BO92" s="1" t="str">
        <f t="shared" si="516"/>
        <v/>
      </c>
      <c r="BP92" s="1" t="str">
        <f t="shared" si="516"/>
        <v/>
      </c>
      <c r="BQ92" s="1" t="str">
        <f t="shared" si="516"/>
        <v/>
      </c>
      <c r="BR92" s="1" t="str">
        <f t="shared" si="516"/>
        <v/>
      </c>
      <c r="BS92" s="1" t="str">
        <f t="shared" ref="BS92:CX92" si="517">+(IF($A92="","",IF($D92&gt;MONTH(BS$16)-MONTH(InicioFuncion)+12*(YEAR(BS$16)-YEAR(InicioFuncion))+1,0,IF($E92&lt;=(MONTH(BS$16)-MONTH(InicioFuncion)+12*(YEAR(BS$16)-YEAR(InicioFuncion)))-$D92+1,0,IF(BS$15&gt;$B$9,0,IF((YEAR($B$8)-YEAR($B$7))*12+(MONTH($B$8)-MONTH($B$7))+$E$14&lt;=BR$14,$C92))))*HLOOKUP(YEAR(BS$16),$E$3:$O$5,3,0)))</f>
        <v/>
      </c>
      <c r="BT92" s="1" t="str">
        <f t="shared" si="517"/>
        <v/>
      </c>
      <c r="BU92" s="1" t="str">
        <f t="shared" si="517"/>
        <v/>
      </c>
      <c r="BV92" s="1" t="str">
        <f t="shared" si="517"/>
        <v/>
      </c>
      <c r="BW92" s="1" t="str">
        <f t="shared" si="517"/>
        <v/>
      </c>
      <c r="BX92" s="1" t="str">
        <f t="shared" si="517"/>
        <v/>
      </c>
      <c r="BY92" s="1" t="str">
        <f t="shared" si="517"/>
        <v/>
      </c>
      <c r="BZ92" s="1" t="str">
        <f t="shared" si="517"/>
        <v/>
      </c>
      <c r="CA92" s="1" t="str">
        <f t="shared" si="517"/>
        <v/>
      </c>
      <c r="CB92" s="1" t="str">
        <f t="shared" si="517"/>
        <v/>
      </c>
      <c r="CC92" s="1" t="str">
        <f t="shared" si="517"/>
        <v/>
      </c>
      <c r="CD92" s="1" t="str">
        <f t="shared" si="517"/>
        <v/>
      </c>
      <c r="CE92" s="1" t="str">
        <f t="shared" si="517"/>
        <v/>
      </c>
      <c r="CF92" s="1" t="str">
        <f t="shared" si="517"/>
        <v/>
      </c>
      <c r="CG92" s="1" t="str">
        <f t="shared" si="517"/>
        <v/>
      </c>
      <c r="CH92" s="1" t="str">
        <f t="shared" si="517"/>
        <v/>
      </c>
      <c r="CI92" s="1" t="str">
        <f t="shared" si="517"/>
        <v/>
      </c>
      <c r="CJ92" s="1" t="str">
        <f t="shared" si="517"/>
        <v/>
      </c>
      <c r="CK92" s="1" t="str">
        <f t="shared" si="517"/>
        <v/>
      </c>
      <c r="CL92" s="1" t="str">
        <f t="shared" si="517"/>
        <v/>
      </c>
      <c r="CM92" s="1" t="str">
        <f t="shared" si="517"/>
        <v/>
      </c>
      <c r="CN92" s="1" t="str">
        <f t="shared" si="517"/>
        <v/>
      </c>
      <c r="CO92" s="1" t="str">
        <f t="shared" si="517"/>
        <v/>
      </c>
      <c r="CP92" s="1" t="str">
        <f t="shared" si="517"/>
        <v/>
      </c>
      <c r="CQ92" s="1" t="str">
        <f t="shared" si="517"/>
        <v/>
      </c>
      <c r="CR92" s="1" t="str">
        <f t="shared" si="517"/>
        <v/>
      </c>
      <c r="CS92" s="1" t="str">
        <f t="shared" si="517"/>
        <v/>
      </c>
      <c r="CT92" s="1" t="str">
        <f t="shared" si="517"/>
        <v/>
      </c>
      <c r="CU92" s="1" t="str">
        <f t="shared" si="517"/>
        <v/>
      </c>
      <c r="CV92" s="1" t="str">
        <f t="shared" si="517"/>
        <v/>
      </c>
      <c r="CW92" s="1" t="str">
        <f t="shared" si="517"/>
        <v/>
      </c>
      <c r="CX92" s="1" t="str">
        <f t="shared" si="517"/>
        <v/>
      </c>
      <c r="CY92" s="1" t="str">
        <f t="shared" ref="CY92:DV92" si="518">+(IF($A92="","",IF($D92&gt;MONTH(CY$16)-MONTH(InicioFuncion)+12*(YEAR(CY$16)-YEAR(InicioFuncion))+1,0,IF($E92&lt;=(MONTH(CY$16)-MONTH(InicioFuncion)+12*(YEAR(CY$16)-YEAR(InicioFuncion)))-$D92+1,0,IF(CY$15&gt;$B$9,0,IF((YEAR($B$8)-YEAR($B$7))*12+(MONTH($B$8)-MONTH($B$7))+$E$14&lt;=CX$14,$C92))))*HLOOKUP(YEAR(CY$16),$E$3:$O$5,3,0)))</f>
        <v/>
      </c>
      <c r="CZ92" s="1" t="str">
        <f t="shared" si="518"/>
        <v/>
      </c>
      <c r="DA92" s="1" t="str">
        <f t="shared" si="518"/>
        <v/>
      </c>
      <c r="DB92" s="1" t="str">
        <f t="shared" si="518"/>
        <v/>
      </c>
      <c r="DC92" s="1" t="str">
        <f t="shared" si="518"/>
        <v/>
      </c>
      <c r="DD92" s="1" t="str">
        <f t="shared" si="518"/>
        <v/>
      </c>
      <c r="DE92" s="1" t="str">
        <f t="shared" si="518"/>
        <v/>
      </c>
      <c r="DF92" s="1" t="str">
        <f t="shared" si="518"/>
        <v/>
      </c>
      <c r="DG92" s="1" t="str">
        <f t="shared" si="518"/>
        <v/>
      </c>
      <c r="DH92" s="1" t="str">
        <f t="shared" si="518"/>
        <v/>
      </c>
      <c r="DI92" s="1" t="str">
        <f t="shared" si="518"/>
        <v/>
      </c>
      <c r="DJ92" s="1" t="str">
        <f t="shared" si="518"/>
        <v/>
      </c>
      <c r="DK92" s="1" t="str">
        <f t="shared" si="518"/>
        <v/>
      </c>
      <c r="DL92" s="1" t="str">
        <f t="shared" si="518"/>
        <v/>
      </c>
      <c r="DM92" s="1" t="str">
        <f t="shared" si="518"/>
        <v/>
      </c>
      <c r="DN92" s="1" t="str">
        <f t="shared" si="518"/>
        <v/>
      </c>
      <c r="DO92" s="1" t="str">
        <f t="shared" si="518"/>
        <v/>
      </c>
      <c r="DP92" s="1" t="str">
        <f t="shared" si="518"/>
        <v/>
      </c>
      <c r="DQ92" s="1" t="str">
        <f t="shared" si="518"/>
        <v/>
      </c>
      <c r="DR92" s="1" t="str">
        <f t="shared" si="518"/>
        <v/>
      </c>
      <c r="DS92" s="1" t="str">
        <f t="shared" si="518"/>
        <v/>
      </c>
      <c r="DT92" s="1" t="str">
        <f t="shared" si="518"/>
        <v/>
      </c>
      <c r="DU92" s="1" t="str">
        <f t="shared" si="518"/>
        <v/>
      </c>
      <c r="DV92" s="1" t="str">
        <f t="shared" si="518"/>
        <v/>
      </c>
    </row>
    <row r="93" spans="1:126" x14ac:dyDescent="0.25">
      <c r="A93" s="58"/>
      <c r="B93" s="32"/>
      <c r="C93" s="11"/>
      <c r="D93" s="1"/>
      <c r="E93" s="1"/>
      <c r="F93" s="1"/>
      <c r="G93" s="1" t="str">
        <f t="shared" ref="G93:AL93" si="519">+(IF($A93="","",IF($D93&gt;MONTH(G$16)-MONTH(InicioFuncion)+12*(YEAR(G$16)-YEAR(InicioFuncion))+1,0,IF($E93&lt;=(MONTH(G$16)-MONTH(InicioFuncion)+12*(YEAR(G$16)-YEAR(InicioFuncion)))-$D93+1,0,IF(G$15&gt;$B$9,0,IF((YEAR($B$8)-YEAR($B$7))*12+(MONTH($B$8)-MONTH($B$7))+$E$14&lt;=F$14,$C93))))*HLOOKUP(YEAR(G$16),$E$3:$O$5,3,0)))</f>
        <v/>
      </c>
      <c r="H93" s="1" t="str">
        <f t="shared" si="519"/>
        <v/>
      </c>
      <c r="I93" s="1" t="str">
        <f t="shared" si="519"/>
        <v/>
      </c>
      <c r="J93" s="1" t="str">
        <f t="shared" si="519"/>
        <v/>
      </c>
      <c r="K93" s="1" t="str">
        <f t="shared" si="519"/>
        <v/>
      </c>
      <c r="L93" s="1" t="str">
        <f t="shared" si="519"/>
        <v/>
      </c>
      <c r="M93" s="1" t="str">
        <f t="shared" si="519"/>
        <v/>
      </c>
      <c r="N93" s="1" t="str">
        <f t="shared" si="519"/>
        <v/>
      </c>
      <c r="O93" s="1" t="str">
        <f t="shared" si="519"/>
        <v/>
      </c>
      <c r="P93" s="1" t="str">
        <f t="shared" si="519"/>
        <v/>
      </c>
      <c r="Q93" s="1" t="str">
        <f t="shared" si="519"/>
        <v/>
      </c>
      <c r="R93" s="1" t="str">
        <f t="shared" si="519"/>
        <v/>
      </c>
      <c r="S93" s="1" t="str">
        <f t="shared" si="519"/>
        <v/>
      </c>
      <c r="T93" s="1" t="str">
        <f t="shared" si="519"/>
        <v/>
      </c>
      <c r="U93" s="1" t="str">
        <f t="shared" si="519"/>
        <v/>
      </c>
      <c r="V93" s="1" t="str">
        <f t="shared" si="519"/>
        <v/>
      </c>
      <c r="W93" s="1" t="str">
        <f t="shared" si="519"/>
        <v/>
      </c>
      <c r="X93" s="1" t="str">
        <f t="shared" si="519"/>
        <v/>
      </c>
      <c r="Y93" s="1" t="str">
        <f t="shared" si="519"/>
        <v/>
      </c>
      <c r="Z93" s="1" t="str">
        <f t="shared" si="519"/>
        <v/>
      </c>
      <c r="AA93" s="1" t="str">
        <f t="shared" si="519"/>
        <v/>
      </c>
      <c r="AB93" s="1" t="str">
        <f t="shared" si="519"/>
        <v/>
      </c>
      <c r="AC93" s="1" t="str">
        <f t="shared" si="519"/>
        <v/>
      </c>
      <c r="AD93" s="1" t="str">
        <f t="shared" si="519"/>
        <v/>
      </c>
      <c r="AE93" s="1" t="str">
        <f t="shared" si="519"/>
        <v/>
      </c>
      <c r="AF93" s="1" t="str">
        <f t="shared" si="519"/>
        <v/>
      </c>
      <c r="AG93" s="1" t="str">
        <f t="shared" si="519"/>
        <v/>
      </c>
      <c r="AH93" s="1" t="str">
        <f t="shared" si="519"/>
        <v/>
      </c>
      <c r="AI93" s="1" t="str">
        <f t="shared" si="519"/>
        <v/>
      </c>
      <c r="AJ93" s="1" t="str">
        <f t="shared" si="519"/>
        <v/>
      </c>
      <c r="AK93" s="1" t="str">
        <f t="shared" si="519"/>
        <v/>
      </c>
      <c r="AL93" s="1" t="str">
        <f t="shared" si="519"/>
        <v/>
      </c>
      <c r="AM93" s="1" t="str">
        <f t="shared" ref="AM93:BR93" si="520">+(IF($A93="","",IF($D93&gt;MONTH(AM$16)-MONTH(InicioFuncion)+12*(YEAR(AM$16)-YEAR(InicioFuncion))+1,0,IF($E93&lt;=(MONTH(AM$16)-MONTH(InicioFuncion)+12*(YEAR(AM$16)-YEAR(InicioFuncion)))-$D93+1,0,IF(AM$15&gt;$B$9,0,IF((YEAR($B$8)-YEAR($B$7))*12+(MONTH($B$8)-MONTH($B$7))+$E$14&lt;=AL$14,$C93))))*HLOOKUP(YEAR(AM$16),$E$3:$O$5,3,0)))</f>
        <v/>
      </c>
      <c r="AN93" s="1" t="str">
        <f t="shared" si="520"/>
        <v/>
      </c>
      <c r="AO93" s="1" t="str">
        <f t="shared" si="520"/>
        <v/>
      </c>
      <c r="AP93" s="1" t="str">
        <f t="shared" si="520"/>
        <v/>
      </c>
      <c r="AQ93" s="1" t="str">
        <f t="shared" si="520"/>
        <v/>
      </c>
      <c r="AR93" s="1" t="str">
        <f t="shared" si="520"/>
        <v/>
      </c>
      <c r="AS93" s="1" t="str">
        <f t="shared" si="520"/>
        <v/>
      </c>
      <c r="AT93" s="1" t="str">
        <f t="shared" si="520"/>
        <v/>
      </c>
      <c r="AU93" s="1" t="str">
        <f t="shared" si="520"/>
        <v/>
      </c>
      <c r="AV93" s="1" t="str">
        <f t="shared" si="520"/>
        <v/>
      </c>
      <c r="AW93" s="1" t="str">
        <f t="shared" si="520"/>
        <v/>
      </c>
      <c r="AX93" s="1" t="str">
        <f t="shared" si="520"/>
        <v/>
      </c>
      <c r="AY93" s="1" t="str">
        <f t="shared" si="520"/>
        <v/>
      </c>
      <c r="AZ93" s="1" t="str">
        <f t="shared" si="520"/>
        <v/>
      </c>
      <c r="BA93" s="1" t="str">
        <f t="shared" si="520"/>
        <v/>
      </c>
      <c r="BB93" s="1" t="str">
        <f t="shared" si="520"/>
        <v/>
      </c>
      <c r="BC93" s="1" t="str">
        <f t="shared" si="520"/>
        <v/>
      </c>
      <c r="BD93" s="1" t="str">
        <f t="shared" si="520"/>
        <v/>
      </c>
      <c r="BE93" s="1" t="str">
        <f t="shared" si="520"/>
        <v/>
      </c>
      <c r="BF93" s="1" t="str">
        <f t="shared" si="520"/>
        <v/>
      </c>
      <c r="BG93" s="1" t="str">
        <f t="shared" si="520"/>
        <v/>
      </c>
      <c r="BH93" s="1" t="str">
        <f t="shared" si="520"/>
        <v/>
      </c>
      <c r="BI93" s="1" t="str">
        <f t="shared" si="520"/>
        <v/>
      </c>
      <c r="BJ93" s="1" t="str">
        <f t="shared" si="520"/>
        <v/>
      </c>
      <c r="BK93" s="1" t="str">
        <f t="shared" si="520"/>
        <v/>
      </c>
      <c r="BL93" s="1" t="str">
        <f t="shared" si="520"/>
        <v/>
      </c>
      <c r="BM93" s="1" t="str">
        <f t="shared" si="520"/>
        <v/>
      </c>
      <c r="BN93" s="1" t="str">
        <f t="shared" si="520"/>
        <v/>
      </c>
      <c r="BO93" s="1" t="str">
        <f t="shared" si="520"/>
        <v/>
      </c>
      <c r="BP93" s="1" t="str">
        <f t="shared" si="520"/>
        <v/>
      </c>
      <c r="BQ93" s="1" t="str">
        <f t="shared" si="520"/>
        <v/>
      </c>
      <c r="BR93" s="1" t="str">
        <f t="shared" si="520"/>
        <v/>
      </c>
      <c r="BS93" s="1" t="str">
        <f t="shared" ref="BS93:CX93" si="521">+(IF($A93="","",IF($D93&gt;MONTH(BS$16)-MONTH(InicioFuncion)+12*(YEAR(BS$16)-YEAR(InicioFuncion))+1,0,IF($E93&lt;=(MONTH(BS$16)-MONTH(InicioFuncion)+12*(YEAR(BS$16)-YEAR(InicioFuncion)))-$D93+1,0,IF(BS$15&gt;$B$9,0,IF((YEAR($B$8)-YEAR($B$7))*12+(MONTH($B$8)-MONTH($B$7))+$E$14&lt;=BR$14,$C93))))*HLOOKUP(YEAR(BS$16),$E$3:$O$5,3,0)))</f>
        <v/>
      </c>
      <c r="BT93" s="1" t="str">
        <f t="shared" si="521"/>
        <v/>
      </c>
      <c r="BU93" s="1" t="str">
        <f t="shared" si="521"/>
        <v/>
      </c>
      <c r="BV93" s="1" t="str">
        <f t="shared" si="521"/>
        <v/>
      </c>
      <c r="BW93" s="1" t="str">
        <f t="shared" si="521"/>
        <v/>
      </c>
      <c r="BX93" s="1" t="str">
        <f t="shared" si="521"/>
        <v/>
      </c>
      <c r="BY93" s="1" t="str">
        <f t="shared" si="521"/>
        <v/>
      </c>
      <c r="BZ93" s="1" t="str">
        <f t="shared" si="521"/>
        <v/>
      </c>
      <c r="CA93" s="1" t="str">
        <f t="shared" si="521"/>
        <v/>
      </c>
      <c r="CB93" s="1" t="str">
        <f t="shared" si="521"/>
        <v/>
      </c>
      <c r="CC93" s="1" t="str">
        <f t="shared" si="521"/>
        <v/>
      </c>
      <c r="CD93" s="1" t="str">
        <f t="shared" si="521"/>
        <v/>
      </c>
      <c r="CE93" s="1" t="str">
        <f t="shared" si="521"/>
        <v/>
      </c>
      <c r="CF93" s="1" t="str">
        <f t="shared" si="521"/>
        <v/>
      </c>
      <c r="CG93" s="1" t="str">
        <f t="shared" si="521"/>
        <v/>
      </c>
      <c r="CH93" s="1" t="str">
        <f t="shared" si="521"/>
        <v/>
      </c>
      <c r="CI93" s="1" t="str">
        <f t="shared" si="521"/>
        <v/>
      </c>
      <c r="CJ93" s="1" t="str">
        <f t="shared" si="521"/>
        <v/>
      </c>
      <c r="CK93" s="1" t="str">
        <f t="shared" si="521"/>
        <v/>
      </c>
      <c r="CL93" s="1" t="str">
        <f t="shared" si="521"/>
        <v/>
      </c>
      <c r="CM93" s="1" t="str">
        <f t="shared" si="521"/>
        <v/>
      </c>
      <c r="CN93" s="1" t="str">
        <f t="shared" si="521"/>
        <v/>
      </c>
      <c r="CO93" s="1" t="str">
        <f t="shared" si="521"/>
        <v/>
      </c>
      <c r="CP93" s="1" t="str">
        <f t="shared" si="521"/>
        <v/>
      </c>
      <c r="CQ93" s="1" t="str">
        <f t="shared" si="521"/>
        <v/>
      </c>
      <c r="CR93" s="1" t="str">
        <f t="shared" si="521"/>
        <v/>
      </c>
      <c r="CS93" s="1" t="str">
        <f t="shared" si="521"/>
        <v/>
      </c>
      <c r="CT93" s="1" t="str">
        <f t="shared" si="521"/>
        <v/>
      </c>
      <c r="CU93" s="1" t="str">
        <f t="shared" si="521"/>
        <v/>
      </c>
      <c r="CV93" s="1" t="str">
        <f t="shared" si="521"/>
        <v/>
      </c>
      <c r="CW93" s="1" t="str">
        <f t="shared" si="521"/>
        <v/>
      </c>
      <c r="CX93" s="1" t="str">
        <f t="shared" si="521"/>
        <v/>
      </c>
      <c r="CY93" s="1" t="str">
        <f t="shared" ref="CY93:DV93" si="522">+(IF($A93="","",IF($D93&gt;MONTH(CY$16)-MONTH(InicioFuncion)+12*(YEAR(CY$16)-YEAR(InicioFuncion))+1,0,IF($E93&lt;=(MONTH(CY$16)-MONTH(InicioFuncion)+12*(YEAR(CY$16)-YEAR(InicioFuncion)))-$D93+1,0,IF(CY$15&gt;$B$9,0,IF((YEAR($B$8)-YEAR($B$7))*12+(MONTH($B$8)-MONTH($B$7))+$E$14&lt;=CX$14,$C93))))*HLOOKUP(YEAR(CY$16),$E$3:$O$5,3,0)))</f>
        <v/>
      </c>
      <c r="CZ93" s="1" t="str">
        <f t="shared" si="522"/>
        <v/>
      </c>
      <c r="DA93" s="1" t="str">
        <f t="shared" si="522"/>
        <v/>
      </c>
      <c r="DB93" s="1" t="str">
        <f t="shared" si="522"/>
        <v/>
      </c>
      <c r="DC93" s="1" t="str">
        <f t="shared" si="522"/>
        <v/>
      </c>
      <c r="DD93" s="1" t="str">
        <f t="shared" si="522"/>
        <v/>
      </c>
      <c r="DE93" s="1" t="str">
        <f t="shared" si="522"/>
        <v/>
      </c>
      <c r="DF93" s="1" t="str">
        <f t="shared" si="522"/>
        <v/>
      </c>
      <c r="DG93" s="1" t="str">
        <f t="shared" si="522"/>
        <v/>
      </c>
      <c r="DH93" s="1" t="str">
        <f t="shared" si="522"/>
        <v/>
      </c>
      <c r="DI93" s="1" t="str">
        <f t="shared" si="522"/>
        <v/>
      </c>
      <c r="DJ93" s="1" t="str">
        <f t="shared" si="522"/>
        <v/>
      </c>
      <c r="DK93" s="1" t="str">
        <f t="shared" si="522"/>
        <v/>
      </c>
      <c r="DL93" s="1" t="str">
        <f t="shared" si="522"/>
        <v/>
      </c>
      <c r="DM93" s="1" t="str">
        <f t="shared" si="522"/>
        <v/>
      </c>
      <c r="DN93" s="1" t="str">
        <f t="shared" si="522"/>
        <v/>
      </c>
      <c r="DO93" s="1" t="str">
        <f t="shared" si="522"/>
        <v/>
      </c>
      <c r="DP93" s="1" t="str">
        <f t="shared" si="522"/>
        <v/>
      </c>
      <c r="DQ93" s="1" t="str">
        <f t="shared" si="522"/>
        <v/>
      </c>
      <c r="DR93" s="1" t="str">
        <f t="shared" si="522"/>
        <v/>
      </c>
      <c r="DS93" s="1" t="str">
        <f t="shared" si="522"/>
        <v/>
      </c>
      <c r="DT93" s="1" t="str">
        <f t="shared" si="522"/>
        <v/>
      </c>
      <c r="DU93" s="1" t="str">
        <f t="shared" si="522"/>
        <v/>
      </c>
      <c r="DV93" s="1" t="str">
        <f t="shared" si="522"/>
        <v/>
      </c>
    </row>
    <row r="94" spans="1:126" x14ac:dyDescent="0.25">
      <c r="A94" s="58"/>
      <c r="B94" s="32"/>
      <c r="C94" s="24"/>
      <c r="D94" s="1"/>
      <c r="E94" s="1"/>
      <c r="F94" s="1"/>
      <c r="G94" s="1" t="str">
        <f t="shared" ref="G94:AL94" si="523">+(IF($A94="","",IF($D94&gt;MONTH(G$16)-MONTH(InicioFuncion)+12*(YEAR(G$16)-YEAR(InicioFuncion))+1,0,IF($E94&lt;=(MONTH(G$16)-MONTH(InicioFuncion)+12*(YEAR(G$16)-YEAR(InicioFuncion)))-$D94+1,0,IF(G$15&gt;$B$9,0,IF((YEAR($B$8)-YEAR($B$7))*12+(MONTH($B$8)-MONTH($B$7))+$E$14&lt;=F$14,$C94))))*HLOOKUP(YEAR(G$16),$E$3:$O$5,3,0)))</f>
        <v/>
      </c>
      <c r="H94" s="1" t="str">
        <f t="shared" si="523"/>
        <v/>
      </c>
      <c r="I94" s="1" t="str">
        <f t="shared" si="523"/>
        <v/>
      </c>
      <c r="J94" s="1" t="str">
        <f t="shared" si="523"/>
        <v/>
      </c>
      <c r="K94" s="1" t="str">
        <f t="shared" si="523"/>
        <v/>
      </c>
      <c r="L94" s="1" t="str">
        <f t="shared" si="523"/>
        <v/>
      </c>
      <c r="M94" s="1" t="str">
        <f t="shared" si="523"/>
        <v/>
      </c>
      <c r="N94" s="1" t="str">
        <f t="shared" si="523"/>
        <v/>
      </c>
      <c r="O94" s="1" t="str">
        <f t="shared" si="523"/>
        <v/>
      </c>
      <c r="P94" s="1" t="str">
        <f t="shared" si="523"/>
        <v/>
      </c>
      <c r="Q94" s="1" t="str">
        <f t="shared" si="523"/>
        <v/>
      </c>
      <c r="R94" s="1" t="str">
        <f t="shared" si="523"/>
        <v/>
      </c>
      <c r="S94" s="1" t="str">
        <f t="shared" si="523"/>
        <v/>
      </c>
      <c r="T94" s="1" t="str">
        <f t="shared" si="523"/>
        <v/>
      </c>
      <c r="U94" s="1" t="str">
        <f t="shared" si="523"/>
        <v/>
      </c>
      <c r="V94" s="1" t="str">
        <f t="shared" si="523"/>
        <v/>
      </c>
      <c r="W94" s="1" t="str">
        <f t="shared" si="523"/>
        <v/>
      </c>
      <c r="X94" s="1" t="str">
        <f t="shared" si="523"/>
        <v/>
      </c>
      <c r="Y94" s="1" t="str">
        <f t="shared" si="523"/>
        <v/>
      </c>
      <c r="Z94" s="1" t="str">
        <f t="shared" si="523"/>
        <v/>
      </c>
      <c r="AA94" s="1" t="str">
        <f t="shared" si="523"/>
        <v/>
      </c>
      <c r="AB94" s="1" t="str">
        <f t="shared" si="523"/>
        <v/>
      </c>
      <c r="AC94" s="1" t="str">
        <f t="shared" si="523"/>
        <v/>
      </c>
      <c r="AD94" s="1" t="str">
        <f t="shared" si="523"/>
        <v/>
      </c>
      <c r="AE94" s="1" t="str">
        <f t="shared" si="523"/>
        <v/>
      </c>
      <c r="AF94" s="1" t="str">
        <f t="shared" si="523"/>
        <v/>
      </c>
      <c r="AG94" s="1" t="str">
        <f t="shared" si="523"/>
        <v/>
      </c>
      <c r="AH94" s="1" t="str">
        <f t="shared" si="523"/>
        <v/>
      </c>
      <c r="AI94" s="1" t="str">
        <f t="shared" si="523"/>
        <v/>
      </c>
      <c r="AJ94" s="1" t="str">
        <f t="shared" si="523"/>
        <v/>
      </c>
      <c r="AK94" s="1" t="str">
        <f t="shared" si="523"/>
        <v/>
      </c>
      <c r="AL94" s="1" t="str">
        <f t="shared" si="523"/>
        <v/>
      </c>
      <c r="AM94" s="1" t="str">
        <f t="shared" ref="AM94:BR94" si="524">+(IF($A94="","",IF($D94&gt;MONTH(AM$16)-MONTH(InicioFuncion)+12*(YEAR(AM$16)-YEAR(InicioFuncion))+1,0,IF($E94&lt;=(MONTH(AM$16)-MONTH(InicioFuncion)+12*(YEAR(AM$16)-YEAR(InicioFuncion)))-$D94+1,0,IF(AM$15&gt;$B$9,0,IF((YEAR($B$8)-YEAR($B$7))*12+(MONTH($B$8)-MONTH($B$7))+$E$14&lt;=AL$14,$C94))))*HLOOKUP(YEAR(AM$16),$E$3:$O$5,3,0)))</f>
        <v/>
      </c>
      <c r="AN94" s="1" t="str">
        <f t="shared" si="524"/>
        <v/>
      </c>
      <c r="AO94" s="1" t="str">
        <f t="shared" si="524"/>
        <v/>
      </c>
      <c r="AP94" s="1" t="str">
        <f t="shared" si="524"/>
        <v/>
      </c>
      <c r="AQ94" s="1" t="str">
        <f t="shared" si="524"/>
        <v/>
      </c>
      <c r="AR94" s="1" t="str">
        <f t="shared" si="524"/>
        <v/>
      </c>
      <c r="AS94" s="1" t="str">
        <f t="shared" si="524"/>
        <v/>
      </c>
      <c r="AT94" s="1" t="str">
        <f t="shared" si="524"/>
        <v/>
      </c>
      <c r="AU94" s="1" t="str">
        <f t="shared" si="524"/>
        <v/>
      </c>
      <c r="AV94" s="1" t="str">
        <f t="shared" si="524"/>
        <v/>
      </c>
      <c r="AW94" s="1" t="str">
        <f t="shared" si="524"/>
        <v/>
      </c>
      <c r="AX94" s="1" t="str">
        <f t="shared" si="524"/>
        <v/>
      </c>
      <c r="AY94" s="1" t="str">
        <f t="shared" si="524"/>
        <v/>
      </c>
      <c r="AZ94" s="1" t="str">
        <f t="shared" si="524"/>
        <v/>
      </c>
      <c r="BA94" s="1" t="str">
        <f t="shared" si="524"/>
        <v/>
      </c>
      <c r="BB94" s="1" t="str">
        <f t="shared" si="524"/>
        <v/>
      </c>
      <c r="BC94" s="1" t="str">
        <f t="shared" si="524"/>
        <v/>
      </c>
      <c r="BD94" s="1" t="str">
        <f t="shared" si="524"/>
        <v/>
      </c>
      <c r="BE94" s="1" t="str">
        <f t="shared" si="524"/>
        <v/>
      </c>
      <c r="BF94" s="1" t="str">
        <f t="shared" si="524"/>
        <v/>
      </c>
      <c r="BG94" s="1" t="str">
        <f t="shared" si="524"/>
        <v/>
      </c>
      <c r="BH94" s="1" t="str">
        <f t="shared" si="524"/>
        <v/>
      </c>
      <c r="BI94" s="1" t="str">
        <f t="shared" si="524"/>
        <v/>
      </c>
      <c r="BJ94" s="1" t="str">
        <f t="shared" si="524"/>
        <v/>
      </c>
      <c r="BK94" s="1" t="str">
        <f t="shared" si="524"/>
        <v/>
      </c>
      <c r="BL94" s="1" t="str">
        <f t="shared" si="524"/>
        <v/>
      </c>
      <c r="BM94" s="1" t="str">
        <f t="shared" si="524"/>
        <v/>
      </c>
      <c r="BN94" s="1" t="str">
        <f t="shared" si="524"/>
        <v/>
      </c>
      <c r="BO94" s="1" t="str">
        <f t="shared" si="524"/>
        <v/>
      </c>
      <c r="BP94" s="1" t="str">
        <f t="shared" si="524"/>
        <v/>
      </c>
      <c r="BQ94" s="1" t="str">
        <f t="shared" si="524"/>
        <v/>
      </c>
      <c r="BR94" s="1" t="str">
        <f t="shared" si="524"/>
        <v/>
      </c>
      <c r="BS94" s="1" t="str">
        <f t="shared" ref="BS94:CX94" si="525">+(IF($A94="","",IF($D94&gt;MONTH(BS$16)-MONTH(InicioFuncion)+12*(YEAR(BS$16)-YEAR(InicioFuncion))+1,0,IF($E94&lt;=(MONTH(BS$16)-MONTH(InicioFuncion)+12*(YEAR(BS$16)-YEAR(InicioFuncion)))-$D94+1,0,IF(BS$15&gt;$B$9,0,IF((YEAR($B$8)-YEAR($B$7))*12+(MONTH($B$8)-MONTH($B$7))+$E$14&lt;=BR$14,$C94))))*HLOOKUP(YEAR(BS$16),$E$3:$O$5,3,0)))</f>
        <v/>
      </c>
      <c r="BT94" s="1" t="str">
        <f t="shared" si="525"/>
        <v/>
      </c>
      <c r="BU94" s="1" t="str">
        <f t="shared" si="525"/>
        <v/>
      </c>
      <c r="BV94" s="1" t="str">
        <f t="shared" si="525"/>
        <v/>
      </c>
      <c r="BW94" s="1" t="str">
        <f t="shared" si="525"/>
        <v/>
      </c>
      <c r="BX94" s="1" t="str">
        <f t="shared" si="525"/>
        <v/>
      </c>
      <c r="BY94" s="1" t="str">
        <f t="shared" si="525"/>
        <v/>
      </c>
      <c r="BZ94" s="1" t="str">
        <f t="shared" si="525"/>
        <v/>
      </c>
      <c r="CA94" s="1" t="str">
        <f t="shared" si="525"/>
        <v/>
      </c>
      <c r="CB94" s="1" t="str">
        <f t="shared" si="525"/>
        <v/>
      </c>
      <c r="CC94" s="1" t="str">
        <f t="shared" si="525"/>
        <v/>
      </c>
      <c r="CD94" s="1" t="str">
        <f t="shared" si="525"/>
        <v/>
      </c>
      <c r="CE94" s="1" t="str">
        <f t="shared" si="525"/>
        <v/>
      </c>
      <c r="CF94" s="1" t="str">
        <f t="shared" si="525"/>
        <v/>
      </c>
      <c r="CG94" s="1" t="str">
        <f t="shared" si="525"/>
        <v/>
      </c>
      <c r="CH94" s="1" t="str">
        <f t="shared" si="525"/>
        <v/>
      </c>
      <c r="CI94" s="1" t="str">
        <f t="shared" si="525"/>
        <v/>
      </c>
      <c r="CJ94" s="1" t="str">
        <f t="shared" si="525"/>
        <v/>
      </c>
      <c r="CK94" s="1" t="str">
        <f t="shared" si="525"/>
        <v/>
      </c>
      <c r="CL94" s="1" t="str">
        <f t="shared" si="525"/>
        <v/>
      </c>
      <c r="CM94" s="1" t="str">
        <f t="shared" si="525"/>
        <v/>
      </c>
      <c r="CN94" s="1" t="str">
        <f t="shared" si="525"/>
        <v/>
      </c>
      <c r="CO94" s="1" t="str">
        <f t="shared" si="525"/>
        <v/>
      </c>
      <c r="CP94" s="1" t="str">
        <f t="shared" si="525"/>
        <v/>
      </c>
      <c r="CQ94" s="1" t="str">
        <f t="shared" si="525"/>
        <v/>
      </c>
      <c r="CR94" s="1" t="str">
        <f t="shared" si="525"/>
        <v/>
      </c>
      <c r="CS94" s="1" t="str">
        <f t="shared" si="525"/>
        <v/>
      </c>
      <c r="CT94" s="1" t="str">
        <f t="shared" si="525"/>
        <v/>
      </c>
      <c r="CU94" s="1" t="str">
        <f t="shared" si="525"/>
        <v/>
      </c>
      <c r="CV94" s="1" t="str">
        <f t="shared" si="525"/>
        <v/>
      </c>
      <c r="CW94" s="1" t="str">
        <f t="shared" si="525"/>
        <v/>
      </c>
      <c r="CX94" s="1" t="str">
        <f t="shared" si="525"/>
        <v/>
      </c>
      <c r="CY94" s="1" t="str">
        <f t="shared" ref="CY94:DV94" si="526">+(IF($A94="","",IF($D94&gt;MONTH(CY$16)-MONTH(InicioFuncion)+12*(YEAR(CY$16)-YEAR(InicioFuncion))+1,0,IF($E94&lt;=(MONTH(CY$16)-MONTH(InicioFuncion)+12*(YEAR(CY$16)-YEAR(InicioFuncion)))-$D94+1,0,IF(CY$15&gt;$B$9,0,IF((YEAR($B$8)-YEAR($B$7))*12+(MONTH($B$8)-MONTH($B$7))+$E$14&lt;=CX$14,$C94))))*HLOOKUP(YEAR(CY$16),$E$3:$O$5,3,0)))</f>
        <v/>
      </c>
      <c r="CZ94" s="1" t="str">
        <f t="shared" si="526"/>
        <v/>
      </c>
      <c r="DA94" s="1" t="str">
        <f t="shared" si="526"/>
        <v/>
      </c>
      <c r="DB94" s="1" t="str">
        <f t="shared" si="526"/>
        <v/>
      </c>
      <c r="DC94" s="1" t="str">
        <f t="shared" si="526"/>
        <v/>
      </c>
      <c r="DD94" s="1" t="str">
        <f t="shared" si="526"/>
        <v/>
      </c>
      <c r="DE94" s="1" t="str">
        <f t="shared" si="526"/>
        <v/>
      </c>
      <c r="DF94" s="1" t="str">
        <f t="shared" si="526"/>
        <v/>
      </c>
      <c r="DG94" s="1" t="str">
        <f t="shared" si="526"/>
        <v/>
      </c>
      <c r="DH94" s="1" t="str">
        <f t="shared" si="526"/>
        <v/>
      </c>
      <c r="DI94" s="1" t="str">
        <f t="shared" si="526"/>
        <v/>
      </c>
      <c r="DJ94" s="1" t="str">
        <f t="shared" si="526"/>
        <v/>
      </c>
      <c r="DK94" s="1" t="str">
        <f t="shared" si="526"/>
        <v/>
      </c>
      <c r="DL94" s="1" t="str">
        <f t="shared" si="526"/>
        <v/>
      </c>
      <c r="DM94" s="1" t="str">
        <f t="shared" si="526"/>
        <v/>
      </c>
      <c r="DN94" s="1" t="str">
        <f t="shared" si="526"/>
        <v/>
      </c>
      <c r="DO94" s="1" t="str">
        <f t="shared" si="526"/>
        <v/>
      </c>
      <c r="DP94" s="1" t="str">
        <f t="shared" si="526"/>
        <v/>
      </c>
      <c r="DQ94" s="1" t="str">
        <f t="shared" si="526"/>
        <v/>
      </c>
      <c r="DR94" s="1" t="str">
        <f t="shared" si="526"/>
        <v/>
      </c>
      <c r="DS94" s="1" t="str">
        <f t="shared" si="526"/>
        <v/>
      </c>
      <c r="DT94" s="1" t="str">
        <f t="shared" si="526"/>
        <v/>
      </c>
      <c r="DU94" s="1" t="str">
        <f t="shared" si="526"/>
        <v/>
      </c>
      <c r="DV94" s="1" t="str">
        <f t="shared" si="526"/>
        <v/>
      </c>
    </row>
    <row r="95" spans="1:126" x14ac:dyDescent="0.25">
      <c r="A95" s="58"/>
      <c r="B95" s="32"/>
      <c r="C95" s="24"/>
      <c r="D95" s="1"/>
      <c r="E95" s="1"/>
      <c r="F95" s="1"/>
      <c r="G95" s="1" t="str">
        <f t="shared" ref="G95:AL95" si="527">+(IF($A95="","",IF($D95&gt;MONTH(G$16)-MONTH(InicioFuncion)+12*(YEAR(G$16)-YEAR(InicioFuncion))+1,0,IF($E95&lt;=(MONTH(G$16)-MONTH(InicioFuncion)+12*(YEAR(G$16)-YEAR(InicioFuncion)))-$D95+1,0,IF(G$15&gt;$B$9,0,IF((YEAR($B$8)-YEAR($B$7))*12+(MONTH($B$8)-MONTH($B$7))+$E$14&lt;=F$14,$C95))))*HLOOKUP(YEAR(G$16),$E$3:$O$5,3,0)))</f>
        <v/>
      </c>
      <c r="H95" s="1" t="str">
        <f t="shared" si="527"/>
        <v/>
      </c>
      <c r="I95" s="1" t="str">
        <f t="shared" si="527"/>
        <v/>
      </c>
      <c r="J95" s="1" t="str">
        <f t="shared" si="527"/>
        <v/>
      </c>
      <c r="K95" s="1" t="str">
        <f t="shared" si="527"/>
        <v/>
      </c>
      <c r="L95" s="1" t="str">
        <f t="shared" si="527"/>
        <v/>
      </c>
      <c r="M95" s="1" t="str">
        <f t="shared" si="527"/>
        <v/>
      </c>
      <c r="N95" s="1" t="str">
        <f t="shared" si="527"/>
        <v/>
      </c>
      <c r="O95" s="1" t="str">
        <f t="shared" si="527"/>
        <v/>
      </c>
      <c r="P95" s="1" t="str">
        <f t="shared" si="527"/>
        <v/>
      </c>
      <c r="Q95" s="1" t="str">
        <f t="shared" si="527"/>
        <v/>
      </c>
      <c r="R95" s="1" t="str">
        <f t="shared" si="527"/>
        <v/>
      </c>
      <c r="S95" s="1" t="str">
        <f t="shared" si="527"/>
        <v/>
      </c>
      <c r="T95" s="1" t="str">
        <f t="shared" si="527"/>
        <v/>
      </c>
      <c r="U95" s="1" t="str">
        <f t="shared" si="527"/>
        <v/>
      </c>
      <c r="V95" s="1" t="str">
        <f t="shared" si="527"/>
        <v/>
      </c>
      <c r="W95" s="1" t="str">
        <f t="shared" si="527"/>
        <v/>
      </c>
      <c r="X95" s="1" t="str">
        <f t="shared" si="527"/>
        <v/>
      </c>
      <c r="Y95" s="1" t="str">
        <f t="shared" si="527"/>
        <v/>
      </c>
      <c r="Z95" s="1" t="str">
        <f t="shared" si="527"/>
        <v/>
      </c>
      <c r="AA95" s="1" t="str">
        <f t="shared" si="527"/>
        <v/>
      </c>
      <c r="AB95" s="1" t="str">
        <f t="shared" si="527"/>
        <v/>
      </c>
      <c r="AC95" s="1" t="str">
        <f t="shared" si="527"/>
        <v/>
      </c>
      <c r="AD95" s="1" t="str">
        <f t="shared" si="527"/>
        <v/>
      </c>
      <c r="AE95" s="1" t="str">
        <f t="shared" si="527"/>
        <v/>
      </c>
      <c r="AF95" s="1" t="str">
        <f t="shared" si="527"/>
        <v/>
      </c>
      <c r="AG95" s="1" t="str">
        <f t="shared" si="527"/>
        <v/>
      </c>
      <c r="AH95" s="1" t="str">
        <f t="shared" si="527"/>
        <v/>
      </c>
      <c r="AI95" s="1" t="str">
        <f t="shared" si="527"/>
        <v/>
      </c>
      <c r="AJ95" s="1" t="str">
        <f t="shared" si="527"/>
        <v/>
      </c>
      <c r="AK95" s="1" t="str">
        <f t="shared" si="527"/>
        <v/>
      </c>
      <c r="AL95" s="1" t="str">
        <f t="shared" si="527"/>
        <v/>
      </c>
      <c r="AM95" s="1" t="str">
        <f t="shared" ref="AM95:BR95" si="528">+(IF($A95="","",IF($D95&gt;MONTH(AM$16)-MONTH(InicioFuncion)+12*(YEAR(AM$16)-YEAR(InicioFuncion))+1,0,IF($E95&lt;=(MONTH(AM$16)-MONTH(InicioFuncion)+12*(YEAR(AM$16)-YEAR(InicioFuncion)))-$D95+1,0,IF(AM$15&gt;$B$9,0,IF((YEAR($B$8)-YEAR($B$7))*12+(MONTH($B$8)-MONTH($B$7))+$E$14&lt;=AL$14,$C95))))*HLOOKUP(YEAR(AM$16),$E$3:$O$5,3,0)))</f>
        <v/>
      </c>
      <c r="AN95" s="1" t="str">
        <f t="shared" si="528"/>
        <v/>
      </c>
      <c r="AO95" s="1" t="str">
        <f t="shared" si="528"/>
        <v/>
      </c>
      <c r="AP95" s="1" t="str">
        <f t="shared" si="528"/>
        <v/>
      </c>
      <c r="AQ95" s="1" t="str">
        <f t="shared" si="528"/>
        <v/>
      </c>
      <c r="AR95" s="1" t="str">
        <f t="shared" si="528"/>
        <v/>
      </c>
      <c r="AS95" s="1" t="str">
        <f t="shared" si="528"/>
        <v/>
      </c>
      <c r="AT95" s="1" t="str">
        <f t="shared" si="528"/>
        <v/>
      </c>
      <c r="AU95" s="1" t="str">
        <f t="shared" si="528"/>
        <v/>
      </c>
      <c r="AV95" s="1" t="str">
        <f t="shared" si="528"/>
        <v/>
      </c>
      <c r="AW95" s="1" t="str">
        <f t="shared" si="528"/>
        <v/>
      </c>
      <c r="AX95" s="1" t="str">
        <f t="shared" si="528"/>
        <v/>
      </c>
      <c r="AY95" s="1" t="str">
        <f t="shared" si="528"/>
        <v/>
      </c>
      <c r="AZ95" s="1" t="str">
        <f t="shared" si="528"/>
        <v/>
      </c>
      <c r="BA95" s="1" t="str">
        <f t="shared" si="528"/>
        <v/>
      </c>
      <c r="BB95" s="1" t="str">
        <f t="shared" si="528"/>
        <v/>
      </c>
      <c r="BC95" s="1" t="str">
        <f t="shared" si="528"/>
        <v/>
      </c>
      <c r="BD95" s="1" t="str">
        <f t="shared" si="528"/>
        <v/>
      </c>
      <c r="BE95" s="1" t="str">
        <f t="shared" si="528"/>
        <v/>
      </c>
      <c r="BF95" s="1" t="str">
        <f t="shared" si="528"/>
        <v/>
      </c>
      <c r="BG95" s="1" t="str">
        <f t="shared" si="528"/>
        <v/>
      </c>
      <c r="BH95" s="1" t="str">
        <f t="shared" si="528"/>
        <v/>
      </c>
      <c r="BI95" s="1" t="str">
        <f t="shared" si="528"/>
        <v/>
      </c>
      <c r="BJ95" s="1" t="str">
        <f t="shared" si="528"/>
        <v/>
      </c>
      <c r="BK95" s="1" t="str">
        <f t="shared" si="528"/>
        <v/>
      </c>
      <c r="BL95" s="1" t="str">
        <f t="shared" si="528"/>
        <v/>
      </c>
      <c r="BM95" s="1" t="str">
        <f t="shared" si="528"/>
        <v/>
      </c>
      <c r="BN95" s="1" t="str">
        <f t="shared" si="528"/>
        <v/>
      </c>
      <c r="BO95" s="1" t="str">
        <f t="shared" si="528"/>
        <v/>
      </c>
      <c r="BP95" s="1" t="str">
        <f t="shared" si="528"/>
        <v/>
      </c>
      <c r="BQ95" s="1" t="str">
        <f t="shared" si="528"/>
        <v/>
      </c>
      <c r="BR95" s="1" t="str">
        <f t="shared" si="528"/>
        <v/>
      </c>
      <c r="BS95" s="1" t="str">
        <f t="shared" ref="BS95:CX95" si="529">+(IF($A95="","",IF($D95&gt;MONTH(BS$16)-MONTH(InicioFuncion)+12*(YEAR(BS$16)-YEAR(InicioFuncion))+1,0,IF($E95&lt;=(MONTH(BS$16)-MONTH(InicioFuncion)+12*(YEAR(BS$16)-YEAR(InicioFuncion)))-$D95+1,0,IF(BS$15&gt;$B$9,0,IF((YEAR($B$8)-YEAR($B$7))*12+(MONTH($B$8)-MONTH($B$7))+$E$14&lt;=BR$14,$C95))))*HLOOKUP(YEAR(BS$16),$E$3:$O$5,3,0)))</f>
        <v/>
      </c>
      <c r="BT95" s="1" t="str">
        <f t="shared" si="529"/>
        <v/>
      </c>
      <c r="BU95" s="1" t="str">
        <f t="shared" si="529"/>
        <v/>
      </c>
      <c r="BV95" s="1" t="str">
        <f t="shared" si="529"/>
        <v/>
      </c>
      <c r="BW95" s="1" t="str">
        <f t="shared" si="529"/>
        <v/>
      </c>
      <c r="BX95" s="1" t="str">
        <f t="shared" si="529"/>
        <v/>
      </c>
      <c r="BY95" s="1" t="str">
        <f t="shared" si="529"/>
        <v/>
      </c>
      <c r="BZ95" s="1" t="str">
        <f t="shared" si="529"/>
        <v/>
      </c>
      <c r="CA95" s="1" t="str">
        <f t="shared" si="529"/>
        <v/>
      </c>
      <c r="CB95" s="1" t="str">
        <f t="shared" si="529"/>
        <v/>
      </c>
      <c r="CC95" s="1" t="str">
        <f t="shared" si="529"/>
        <v/>
      </c>
      <c r="CD95" s="1" t="str">
        <f t="shared" si="529"/>
        <v/>
      </c>
      <c r="CE95" s="1" t="str">
        <f t="shared" si="529"/>
        <v/>
      </c>
      <c r="CF95" s="1" t="str">
        <f t="shared" si="529"/>
        <v/>
      </c>
      <c r="CG95" s="1" t="str">
        <f t="shared" si="529"/>
        <v/>
      </c>
      <c r="CH95" s="1" t="str">
        <f t="shared" si="529"/>
        <v/>
      </c>
      <c r="CI95" s="1" t="str">
        <f t="shared" si="529"/>
        <v/>
      </c>
      <c r="CJ95" s="1" t="str">
        <f t="shared" si="529"/>
        <v/>
      </c>
      <c r="CK95" s="1" t="str">
        <f t="shared" si="529"/>
        <v/>
      </c>
      <c r="CL95" s="1" t="str">
        <f t="shared" si="529"/>
        <v/>
      </c>
      <c r="CM95" s="1" t="str">
        <f t="shared" si="529"/>
        <v/>
      </c>
      <c r="CN95" s="1" t="str">
        <f t="shared" si="529"/>
        <v/>
      </c>
      <c r="CO95" s="1" t="str">
        <f t="shared" si="529"/>
        <v/>
      </c>
      <c r="CP95" s="1" t="str">
        <f t="shared" si="529"/>
        <v/>
      </c>
      <c r="CQ95" s="1" t="str">
        <f t="shared" si="529"/>
        <v/>
      </c>
      <c r="CR95" s="1" t="str">
        <f t="shared" si="529"/>
        <v/>
      </c>
      <c r="CS95" s="1" t="str">
        <f t="shared" si="529"/>
        <v/>
      </c>
      <c r="CT95" s="1" t="str">
        <f t="shared" si="529"/>
        <v/>
      </c>
      <c r="CU95" s="1" t="str">
        <f t="shared" si="529"/>
        <v/>
      </c>
      <c r="CV95" s="1" t="str">
        <f t="shared" si="529"/>
        <v/>
      </c>
      <c r="CW95" s="1" t="str">
        <f t="shared" si="529"/>
        <v/>
      </c>
      <c r="CX95" s="1" t="str">
        <f t="shared" si="529"/>
        <v/>
      </c>
      <c r="CY95" s="1" t="str">
        <f t="shared" ref="CY95:DV95" si="530">+(IF($A95="","",IF($D95&gt;MONTH(CY$16)-MONTH(InicioFuncion)+12*(YEAR(CY$16)-YEAR(InicioFuncion))+1,0,IF($E95&lt;=(MONTH(CY$16)-MONTH(InicioFuncion)+12*(YEAR(CY$16)-YEAR(InicioFuncion)))-$D95+1,0,IF(CY$15&gt;$B$9,0,IF((YEAR($B$8)-YEAR($B$7))*12+(MONTH($B$8)-MONTH($B$7))+$E$14&lt;=CX$14,$C95))))*HLOOKUP(YEAR(CY$16),$E$3:$O$5,3,0)))</f>
        <v/>
      </c>
      <c r="CZ95" s="1" t="str">
        <f t="shared" si="530"/>
        <v/>
      </c>
      <c r="DA95" s="1" t="str">
        <f t="shared" si="530"/>
        <v/>
      </c>
      <c r="DB95" s="1" t="str">
        <f t="shared" si="530"/>
        <v/>
      </c>
      <c r="DC95" s="1" t="str">
        <f t="shared" si="530"/>
        <v/>
      </c>
      <c r="DD95" s="1" t="str">
        <f t="shared" si="530"/>
        <v/>
      </c>
      <c r="DE95" s="1" t="str">
        <f t="shared" si="530"/>
        <v/>
      </c>
      <c r="DF95" s="1" t="str">
        <f t="shared" si="530"/>
        <v/>
      </c>
      <c r="DG95" s="1" t="str">
        <f t="shared" si="530"/>
        <v/>
      </c>
      <c r="DH95" s="1" t="str">
        <f t="shared" si="530"/>
        <v/>
      </c>
      <c r="DI95" s="1" t="str">
        <f t="shared" si="530"/>
        <v/>
      </c>
      <c r="DJ95" s="1" t="str">
        <f t="shared" si="530"/>
        <v/>
      </c>
      <c r="DK95" s="1" t="str">
        <f t="shared" si="530"/>
        <v/>
      </c>
      <c r="DL95" s="1" t="str">
        <f t="shared" si="530"/>
        <v/>
      </c>
      <c r="DM95" s="1" t="str">
        <f t="shared" si="530"/>
        <v/>
      </c>
      <c r="DN95" s="1" t="str">
        <f t="shared" si="530"/>
        <v/>
      </c>
      <c r="DO95" s="1" t="str">
        <f t="shared" si="530"/>
        <v/>
      </c>
      <c r="DP95" s="1" t="str">
        <f t="shared" si="530"/>
        <v/>
      </c>
      <c r="DQ95" s="1" t="str">
        <f t="shared" si="530"/>
        <v/>
      </c>
      <c r="DR95" s="1" t="str">
        <f t="shared" si="530"/>
        <v/>
      </c>
      <c r="DS95" s="1" t="str">
        <f t="shared" si="530"/>
        <v/>
      </c>
      <c r="DT95" s="1" t="str">
        <f t="shared" si="530"/>
        <v/>
      </c>
      <c r="DU95" s="1" t="str">
        <f t="shared" si="530"/>
        <v/>
      </c>
      <c r="DV95" s="1" t="str">
        <f t="shared" si="530"/>
        <v/>
      </c>
    </row>
    <row r="96" spans="1:126" x14ac:dyDescent="0.25">
      <c r="A96" s="58"/>
      <c r="B96" s="32"/>
      <c r="C96" s="24"/>
      <c r="D96" s="1"/>
      <c r="E96" s="1"/>
      <c r="F96" s="1"/>
      <c r="G96" s="1" t="str">
        <f t="shared" ref="G96:AL96" si="531">+(IF($A96="","",IF($D96&gt;MONTH(G$16)-MONTH(InicioFuncion)+12*(YEAR(G$16)-YEAR(InicioFuncion))+1,0,IF($E96&lt;=(MONTH(G$16)-MONTH(InicioFuncion)+12*(YEAR(G$16)-YEAR(InicioFuncion)))-$D96+1,0,IF(G$15&gt;$B$9,0,IF((YEAR($B$8)-YEAR($B$7))*12+(MONTH($B$8)-MONTH($B$7))+$E$14&lt;=F$14,$C96))))*HLOOKUP(YEAR(G$16),$E$3:$O$5,3,0)))</f>
        <v/>
      </c>
      <c r="H96" s="1" t="str">
        <f t="shared" si="531"/>
        <v/>
      </c>
      <c r="I96" s="1" t="str">
        <f t="shared" si="531"/>
        <v/>
      </c>
      <c r="J96" s="1" t="str">
        <f t="shared" si="531"/>
        <v/>
      </c>
      <c r="K96" s="1" t="str">
        <f t="shared" si="531"/>
        <v/>
      </c>
      <c r="L96" s="1" t="str">
        <f t="shared" si="531"/>
        <v/>
      </c>
      <c r="M96" s="1" t="str">
        <f t="shared" si="531"/>
        <v/>
      </c>
      <c r="N96" s="1" t="str">
        <f t="shared" si="531"/>
        <v/>
      </c>
      <c r="O96" s="1" t="str">
        <f t="shared" si="531"/>
        <v/>
      </c>
      <c r="P96" s="1" t="str">
        <f t="shared" si="531"/>
        <v/>
      </c>
      <c r="Q96" s="1" t="str">
        <f t="shared" si="531"/>
        <v/>
      </c>
      <c r="R96" s="1" t="str">
        <f t="shared" si="531"/>
        <v/>
      </c>
      <c r="S96" s="1" t="str">
        <f t="shared" si="531"/>
        <v/>
      </c>
      <c r="T96" s="1" t="str">
        <f t="shared" si="531"/>
        <v/>
      </c>
      <c r="U96" s="1" t="str">
        <f t="shared" si="531"/>
        <v/>
      </c>
      <c r="V96" s="1" t="str">
        <f t="shared" si="531"/>
        <v/>
      </c>
      <c r="W96" s="1" t="str">
        <f t="shared" si="531"/>
        <v/>
      </c>
      <c r="X96" s="1" t="str">
        <f t="shared" si="531"/>
        <v/>
      </c>
      <c r="Y96" s="1" t="str">
        <f t="shared" si="531"/>
        <v/>
      </c>
      <c r="Z96" s="1" t="str">
        <f t="shared" si="531"/>
        <v/>
      </c>
      <c r="AA96" s="1" t="str">
        <f t="shared" si="531"/>
        <v/>
      </c>
      <c r="AB96" s="1" t="str">
        <f t="shared" si="531"/>
        <v/>
      </c>
      <c r="AC96" s="1" t="str">
        <f t="shared" si="531"/>
        <v/>
      </c>
      <c r="AD96" s="1" t="str">
        <f t="shared" si="531"/>
        <v/>
      </c>
      <c r="AE96" s="1" t="str">
        <f t="shared" si="531"/>
        <v/>
      </c>
      <c r="AF96" s="1" t="str">
        <f t="shared" si="531"/>
        <v/>
      </c>
      <c r="AG96" s="1" t="str">
        <f t="shared" si="531"/>
        <v/>
      </c>
      <c r="AH96" s="1" t="str">
        <f t="shared" si="531"/>
        <v/>
      </c>
      <c r="AI96" s="1" t="str">
        <f t="shared" si="531"/>
        <v/>
      </c>
      <c r="AJ96" s="1" t="str">
        <f t="shared" si="531"/>
        <v/>
      </c>
      <c r="AK96" s="1" t="str">
        <f t="shared" si="531"/>
        <v/>
      </c>
      <c r="AL96" s="1" t="str">
        <f t="shared" si="531"/>
        <v/>
      </c>
      <c r="AM96" s="1" t="str">
        <f t="shared" ref="AM96:BR96" si="532">+(IF($A96="","",IF($D96&gt;MONTH(AM$16)-MONTH(InicioFuncion)+12*(YEAR(AM$16)-YEAR(InicioFuncion))+1,0,IF($E96&lt;=(MONTH(AM$16)-MONTH(InicioFuncion)+12*(YEAR(AM$16)-YEAR(InicioFuncion)))-$D96+1,0,IF(AM$15&gt;$B$9,0,IF((YEAR($B$8)-YEAR($B$7))*12+(MONTH($B$8)-MONTH($B$7))+$E$14&lt;=AL$14,$C96))))*HLOOKUP(YEAR(AM$16),$E$3:$O$5,3,0)))</f>
        <v/>
      </c>
      <c r="AN96" s="1" t="str">
        <f t="shared" si="532"/>
        <v/>
      </c>
      <c r="AO96" s="1" t="str">
        <f t="shared" si="532"/>
        <v/>
      </c>
      <c r="AP96" s="1" t="str">
        <f t="shared" si="532"/>
        <v/>
      </c>
      <c r="AQ96" s="1" t="str">
        <f t="shared" si="532"/>
        <v/>
      </c>
      <c r="AR96" s="1" t="str">
        <f t="shared" si="532"/>
        <v/>
      </c>
      <c r="AS96" s="1" t="str">
        <f t="shared" si="532"/>
        <v/>
      </c>
      <c r="AT96" s="1" t="str">
        <f t="shared" si="532"/>
        <v/>
      </c>
      <c r="AU96" s="1" t="str">
        <f t="shared" si="532"/>
        <v/>
      </c>
      <c r="AV96" s="1" t="str">
        <f t="shared" si="532"/>
        <v/>
      </c>
      <c r="AW96" s="1" t="str">
        <f t="shared" si="532"/>
        <v/>
      </c>
      <c r="AX96" s="1" t="str">
        <f t="shared" si="532"/>
        <v/>
      </c>
      <c r="AY96" s="1" t="str">
        <f t="shared" si="532"/>
        <v/>
      </c>
      <c r="AZ96" s="1" t="str">
        <f t="shared" si="532"/>
        <v/>
      </c>
      <c r="BA96" s="1" t="str">
        <f t="shared" si="532"/>
        <v/>
      </c>
      <c r="BB96" s="1" t="str">
        <f t="shared" si="532"/>
        <v/>
      </c>
      <c r="BC96" s="1" t="str">
        <f t="shared" si="532"/>
        <v/>
      </c>
      <c r="BD96" s="1" t="str">
        <f t="shared" si="532"/>
        <v/>
      </c>
      <c r="BE96" s="1" t="str">
        <f t="shared" si="532"/>
        <v/>
      </c>
      <c r="BF96" s="1" t="str">
        <f t="shared" si="532"/>
        <v/>
      </c>
      <c r="BG96" s="1" t="str">
        <f t="shared" si="532"/>
        <v/>
      </c>
      <c r="BH96" s="1" t="str">
        <f t="shared" si="532"/>
        <v/>
      </c>
      <c r="BI96" s="1" t="str">
        <f t="shared" si="532"/>
        <v/>
      </c>
      <c r="BJ96" s="1" t="str">
        <f t="shared" si="532"/>
        <v/>
      </c>
      <c r="BK96" s="1" t="str">
        <f t="shared" si="532"/>
        <v/>
      </c>
      <c r="BL96" s="1" t="str">
        <f t="shared" si="532"/>
        <v/>
      </c>
      <c r="BM96" s="1" t="str">
        <f t="shared" si="532"/>
        <v/>
      </c>
      <c r="BN96" s="1" t="str">
        <f t="shared" si="532"/>
        <v/>
      </c>
      <c r="BO96" s="1" t="str">
        <f t="shared" si="532"/>
        <v/>
      </c>
      <c r="BP96" s="1" t="str">
        <f t="shared" si="532"/>
        <v/>
      </c>
      <c r="BQ96" s="1" t="str">
        <f t="shared" si="532"/>
        <v/>
      </c>
      <c r="BR96" s="1" t="str">
        <f t="shared" si="532"/>
        <v/>
      </c>
      <c r="BS96" s="1" t="str">
        <f t="shared" ref="BS96:CX96" si="533">+(IF($A96="","",IF($D96&gt;MONTH(BS$16)-MONTH(InicioFuncion)+12*(YEAR(BS$16)-YEAR(InicioFuncion))+1,0,IF($E96&lt;=(MONTH(BS$16)-MONTH(InicioFuncion)+12*(YEAR(BS$16)-YEAR(InicioFuncion)))-$D96+1,0,IF(BS$15&gt;$B$9,0,IF((YEAR($B$8)-YEAR($B$7))*12+(MONTH($B$8)-MONTH($B$7))+$E$14&lt;=BR$14,$C96))))*HLOOKUP(YEAR(BS$16),$E$3:$O$5,3,0)))</f>
        <v/>
      </c>
      <c r="BT96" s="1" t="str">
        <f t="shared" si="533"/>
        <v/>
      </c>
      <c r="BU96" s="1" t="str">
        <f t="shared" si="533"/>
        <v/>
      </c>
      <c r="BV96" s="1" t="str">
        <f t="shared" si="533"/>
        <v/>
      </c>
      <c r="BW96" s="1" t="str">
        <f t="shared" si="533"/>
        <v/>
      </c>
      <c r="BX96" s="1" t="str">
        <f t="shared" si="533"/>
        <v/>
      </c>
      <c r="BY96" s="1" t="str">
        <f t="shared" si="533"/>
        <v/>
      </c>
      <c r="BZ96" s="1" t="str">
        <f t="shared" si="533"/>
        <v/>
      </c>
      <c r="CA96" s="1" t="str">
        <f t="shared" si="533"/>
        <v/>
      </c>
      <c r="CB96" s="1" t="str">
        <f t="shared" si="533"/>
        <v/>
      </c>
      <c r="CC96" s="1" t="str">
        <f t="shared" si="533"/>
        <v/>
      </c>
      <c r="CD96" s="1" t="str">
        <f t="shared" si="533"/>
        <v/>
      </c>
      <c r="CE96" s="1" t="str">
        <f t="shared" si="533"/>
        <v/>
      </c>
      <c r="CF96" s="1" t="str">
        <f t="shared" si="533"/>
        <v/>
      </c>
      <c r="CG96" s="1" t="str">
        <f t="shared" si="533"/>
        <v/>
      </c>
      <c r="CH96" s="1" t="str">
        <f t="shared" si="533"/>
        <v/>
      </c>
      <c r="CI96" s="1" t="str">
        <f t="shared" si="533"/>
        <v/>
      </c>
      <c r="CJ96" s="1" t="str">
        <f t="shared" si="533"/>
        <v/>
      </c>
      <c r="CK96" s="1" t="str">
        <f t="shared" si="533"/>
        <v/>
      </c>
      <c r="CL96" s="1" t="str">
        <f t="shared" si="533"/>
        <v/>
      </c>
      <c r="CM96" s="1" t="str">
        <f t="shared" si="533"/>
        <v/>
      </c>
      <c r="CN96" s="1" t="str">
        <f t="shared" si="533"/>
        <v/>
      </c>
      <c r="CO96" s="1" t="str">
        <f t="shared" si="533"/>
        <v/>
      </c>
      <c r="CP96" s="1" t="str">
        <f t="shared" si="533"/>
        <v/>
      </c>
      <c r="CQ96" s="1" t="str">
        <f t="shared" si="533"/>
        <v/>
      </c>
      <c r="CR96" s="1" t="str">
        <f t="shared" si="533"/>
        <v/>
      </c>
      <c r="CS96" s="1" t="str">
        <f t="shared" si="533"/>
        <v/>
      </c>
      <c r="CT96" s="1" t="str">
        <f t="shared" si="533"/>
        <v/>
      </c>
      <c r="CU96" s="1" t="str">
        <f t="shared" si="533"/>
        <v/>
      </c>
      <c r="CV96" s="1" t="str">
        <f t="shared" si="533"/>
        <v/>
      </c>
      <c r="CW96" s="1" t="str">
        <f t="shared" si="533"/>
        <v/>
      </c>
      <c r="CX96" s="1" t="str">
        <f t="shared" si="533"/>
        <v/>
      </c>
      <c r="CY96" s="1" t="str">
        <f t="shared" ref="CY96:DV96" si="534">+(IF($A96="","",IF($D96&gt;MONTH(CY$16)-MONTH(InicioFuncion)+12*(YEAR(CY$16)-YEAR(InicioFuncion))+1,0,IF($E96&lt;=(MONTH(CY$16)-MONTH(InicioFuncion)+12*(YEAR(CY$16)-YEAR(InicioFuncion)))-$D96+1,0,IF(CY$15&gt;$B$9,0,IF((YEAR($B$8)-YEAR($B$7))*12+(MONTH($B$8)-MONTH($B$7))+$E$14&lt;=CX$14,$C96))))*HLOOKUP(YEAR(CY$16),$E$3:$O$5,3,0)))</f>
        <v/>
      </c>
      <c r="CZ96" s="1" t="str">
        <f t="shared" si="534"/>
        <v/>
      </c>
      <c r="DA96" s="1" t="str">
        <f t="shared" si="534"/>
        <v/>
      </c>
      <c r="DB96" s="1" t="str">
        <f t="shared" si="534"/>
        <v/>
      </c>
      <c r="DC96" s="1" t="str">
        <f t="shared" si="534"/>
        <v/>
      </c>
      <c r="DD96" s="1" t="str">
        <f t="shared" si="534"/>
        <v/>
      </c>
      <c r="DE96" s="1" t="str">
        <f t="shared" si="534"/>
        <v/>
      </c>
      <c r="DF96" s="1" t="str">
        <f t="shared" si="534"/>
        <v/>
      </c>
      <c r="DG96" s="1" t="str">
        <f t="shared" si="534"/>
        <v/>
      </c>
      <c r="DH96" s="1" t="str">
        <f t="shared" si="534"/>
        <v/>
      </c>
      <c r="DI96" s="1" t="str">
        <f t="shared" si="534"/>
        <v/>
      </c>
      <c r="DJ96" s="1" t="str">
        <f t="shared" si="534"/>
        <v/>
      </c>
      <c r="DK96" s="1" t="str">
        <f t="shared" si="534"/>
        <v/>
      </c>
      <c r="DL96" s="1" t="str">
        <f t="shared" si="534"/>
        <v/>
      </c>
      <c r="DM96" s="1" t="str">
        <f t="shared" si="534"/>
        <v/>
      </c>
      <c r="DN96" s="1" t="str">
        <f t="shared" si="534"/>
        <v/>
      </c>
      <c r="DO96" s="1" t="str">
        <f t="shared" si="534"/>
        <v/>
      </c>
      <c r="DP96" s="1" t="str">
        <f t="shared" si="534"/>
        <v/>
      </c>
      <c r="DQ96" s="1" t="str">
        <f t="shared" si="534"/>
        <v/>
      </c>
      <c r="DR96" s="1" t="str">
        <f t="shared" si="534"/>
        <v/>
      </c>
      <c r="DS96" s="1" t="str">
        <f t="shared" si="534"/>
        <v/>
      </c>
      <c r="DT96" s="1" t="str">
        <f t="shared" si="534"/>
        <v/>
      </c>
      <c r="DU96" s="1" t="str">
        <f t="shared" si="534"/>
        <v/>
      </c>
      <c r="DV96" s="1" t="str">
        <f t="shared" si="534"/>
        <v/>
      </c>
    </row>
    <row r="97" spans="1:126" x14ac:dyDescent="0.25">
      <c r="A97" s="58"/>
      <c r="B97" s="32"/>
      <c r="C97" s="24"/>
      <c r="D97" s="1"/>
      <c r="E97" s="1"/>
      <c r="F97" s="1"/>
      <c r="G97" s="1" t="str">
        <f t="shared" ref="G97:AL97" si="535">+(IF($A97="","",IF($D97&gt;MONTH(G$16)-MONTH(InicioFuncion)+12*(YEAR(G$16)-YEAR(InicioFuncion))+1,0,IF($E97&lt;=(MONTH(G$16)-MONTH(InicioFuncion)+12*(YEAR(G$16)-YEAR(InicioFuncion)))-$D97+1,0,IF(G$15&gt;$B$9,0,IF((YEAR($B$8)-YEAR($B$7))*12+(MONTH($B$8)-MONTH($B$7))+$E$14&lt;=F$14,$C97))))*HLOOKUP(YEAR(G$16),$E$3:$O$5,3,0)))</f>
        <v/>
      </c>
      <c r="H97" s="1" t="str">
        <f t="shared" si="535"/>
        <v/>
      </c>
      <c r="I97" s="1" t="str">
        <f t="shared" si="535"/>
        <v/>
      </c>
      <c r="J97" s="1" t="str">
        <f t="shared" si="535"/>
        <v/>
      </c>
      <c r="K97" s="1" t="str">
        <f t="shared" si="535"/>
        <v/>
      </c>
      <c r="L97" s="1" t="str">
        <f t="shared" si="535"/>
        <v/>
      </c>
      <c r="M97" s="1" t="str">
        <f t="shared" si="535"/>
        <v/>
      </c>
      <c r="N97" s="1" t="str">
        <f t="shared" si="535"/>
        <v/>
      </c>
      <c r="O97" s="1" t="str">
        <f t="shared" si="535"/>
        <v/>
      </c>
      <c r="P97" s="1" t="str">
        <f t="shared" si="535"/>
        <v/>
      </c>
      <c r="Q97" s="1" t="str">
        <f t="shared" si="535"/>
        <v/>
      </c>
      <c r="R97" s="1" t="str">
        <f t="shared" si="535"/>
        <v/>
      </c>
      <c r="S97" s="1" t="str">
        <f t="shared" si="535"/>
        <v/>
      </c>
      <c r="T97" s="1" t="str">
        <f t="shared" si="535"/>
        <v/>
      </c>
      <c r="U97" s="1" t="str">
        <f t="shared" si="535"/>
        <v/>
      </c>
      <c r="V97" s="1" t="str">
        <f t="shared" si="535"/>
        <v/>
      </c>
      <c r="W97" s="1" t="str">
        <f t="shared" si="535"/>
        <v/>
      </c>
      <c r="X97" s="1" t="str">
        <f t="shared" si="535"/>
        <v/>
      </c>
      <c r="Y97" s="1" t="str">
        <f t="shared" si="535"/>
        <v/>
      </c>
      <c r="Z97" s="1" t="str">
        <f t="shared" si="535"/>
        <v/>
      </c>
      <c r="AA97" s="1" t="str">
        <f t="shared" si="535"/>
        <v/>
      </c>
      <c r="AB97" s="1" t="str">
        <f t="shared" si="535"/>
        <v/>
      </c>
      <c r="AC97" s="1" t="str">
        <f t="shared" si="535"/>
        <v/>
      </c>
      <c r="AD97" s="1" t="str">
        <f t="shared" si="535"/>
        <v/>
      </c>
      <c r="AE97" s="1" t="str">
        <f t="shared" si="535"/>
        <v/>
      </c>
      <c r="AF97" s="1" t="str">
        <f t="shared" si="535"/>
        <v/>
      </c>
      <c r="AG97" s="1" t="str">
        <f t="shared" si="535"/>
        <v/>
      </c>
      <c r="AH97" s="1" t="str">
        <f t="shared" si="535"/>
        <v/>
      </c>
      <c r="AI97" s="1" t="str">
        <f t="shared" si="535"/>
        <v/>
      </c>
      <c r="AJ97" s="1" t="str">
        <f t="shared" si="535"/>
        <v/>
      </c>
      <c r="AK97" s="1" t="str">
        <f t="shared" si="535"/>
        <v/>
      </c>
      <c r="AL97" s="1" t="str">
        <f t="shared" si="535"/>
        <v/>
      </c>
      <c r="AM97" s="1" t="str">
        <f t="shared" ref="AM97:BR97" si="536">+(IF($A97="","",IF($D97&gt;MONTH(AM$16)-MONTH(InicioFuncion)+12*(YEAR(AM$16)-YEAR(InicioFuncion))+1,0,IF($E97&lt;=(MONTH(AM$16)-MONTH(InicioFuncion)+12*(YEAR(AM$16)-YEAR(InicioFuncion)))-$D97+1,0,IF(AM$15&gt;$B$9,0,IF((YEAR($B$8)-YEAR($B$7))*12+(MONTH($B$8)-MONTH($B$7))+$E$14&lt;=AL$14,$C97))))*HLOOKUP(YEAR(AM$16),$E$3:$O$5,3,0)))</f>
        <v/>
      </c>
      <c r="AN97" s="1" t="str">
        <f t="shared" si="536"/>
        <v/>
      </c>
      <c r="AO97" s="1" t="str">
        <f t="shared" si="536"/>
        <v/>
      </c>
      <c r="AP97" s="1" t="str">
        <f t="shared" si="536"/>
        <v/>
      </c>
      <c r="AQ97" s="1" t="str">
        <f t="shared" si="536"/>
        <v/>
      </c>
      <c r="AR97" s="1" t="str">
        <f t="shared" si="536"/>
        <v/>
      </c>
      <c r="AS97" s="1" t="str">
        <f t="shared" si="536"/>
        <v/>
      </c>
      <c r="AT97" s="1" t="str">
        <f t="shared" si="536"/>
        <v/>
      </c>
      <c r="AU97" s="1" t="str">
        <f t="shared" si="536"/>
        <v/>
      </c>
      <c r="AV97" s="1" t="str">
        <f t="shared" si="536"/>
        <v/>
      </c>
      <c r="AW97" s="1" t="str">
        <f t="shared" si="536"/>
        <v/>
      </c>
      <c r="AX97" s="1" t="str">
        <f t="shared" si="536"/>
        <v/>
      </c>
      <c r="AY97" s="1" t="str">
        <f t="shared" si="536"/>
        <v/>
      </c>
      <c r="AZ97" s="1" t="str">
        <f t="shared" si="536"/>
        <v/>
      </c>
      <c r="BA97" s="1" t="str">
        <f t="shared" si="536"/>
        <v/>
      </c>
      <c r="BB97" s="1" t="str">
        <f t="shared" si="536"/>
        <v/>
      </c>
      <c r="BC97" s="1" t="str">
        <f t="shared" si="536"/>
        <v/>
      </c>
      <c r="BD97" s="1" t="str">
        <f t="shared" si="536"/>
        <v/>
      </c>
      <c r="BE97" s="1" t="str">
        <f t="shared" si="536"/>
        <v/>
      </c>
      <c r="BF97" s="1" t="str">
        <f t="shared" si="536"/>
        <v/>
      </c>
      <c r="BG97" s="1" t="str">
        <f t="shared" si="536"/>
        <v/>
      </c>
      <c r="BH97" s="1" t="str">
        <f t="shared" si="536"/>
        <v/>
      </c>
      <c r="BI97" s="1" t="str">
        <f t="shared" si="536"/>
        <v/>
      </c>
      <c r="BJ97" s="1" t="str">
        <f t="shared" si="536"/>
        <v/>
      </c>
      <c r="BK97" s="1" t="str">
        <f t="shared" si="536"/>
        <v/>
      </c>
      <c r="BL97" s="1" t="str">
        <f t="shared" si="536"/>
        <v/>
      </c>
      <c r="BM97" s="1" t="str">
        <f t="shared" si="536"/>
        <v/>
      </c>
      <c r="BN97" s="1" t="str">
        <f t="shared" si="536"/>
        <v/>
      </c>
      <c r="BO97" s="1" t="str">
        <f t="shared" si="536"/>
        <v/>
      </c>
      <c r="BP97" s="1" t="str">
        <f t="shared" si="536"/>
        <v/>
      </c>
      <c r="BQ97" s="1" t="str">
        <f t="shared" si="536"/>
        <v/>
      </c>
      <c r="BR97" s="1" t="str">
        <f t="shared" si="536"/>
        <v/>
      </c>
      <c r="BS97" s="1" t="str">
        <f t="shared" ref="BS97:CX97" si="537">+(IF($A97="","",IF($D97&gt;MONTH(BS$16)-MONTH(InicioFuncion)+12*(YEAR(BS$16)-YEAR(InicioFuncion))+1,0,IF($E97&lt;=(MONTH(BS$16)-MONTH(InicioFuncion)+12*(YEAR(BS$16)-YEAR(InicioFuncion)))-$D97+1,0,IF(BS$15&gt;$B$9,0,IF((YEAR($B$8)-YEAR($B$7))*12+(MONTH($B$8)-MONTH($B$7))+$E$14&lt;=BR$14,$C97))))*HLOOKUP(YEAR(BS$16),$E$3:$O$5,3,0)))</f>
        <v/>
      </c>
      <c r="BT97" s="1" t="str">
        <f t="shared" si="537"/>
        <v/>
      </c>
      <c r="BU97" s="1" t="str">
        <f t="shared" si="537"/>
        <v/>
      </c>
      <c r="BV97" s="1" t="str">
        <f t="shared" si="537"/>
        <v/>
      </c>
      <c r="BW97" s="1" t="str">
        <f t="shared" si="537"/>
        <v/>
      </c>
      <c r="BX97" s="1" t="str">
        <f t="shared" si="537"/>
        <v/>
      </c>
      <c r="BY97" s="1" t="str">
        <f t="shared" si="537"/>
        <v/>
      </c>
      <c r="BZ97" s="1" t="str">
        <f t="shared" si="537"/>
        <v/>
      </c>
      <c r="CA97" s="1" t="str">
        <f t="shared" si="537"/>
        <v/>
      </c>
      <c r="CB97" s="1" t="str">
        <f t="shared" si="537"/>
        <v/>
      </c>
      <c r="CC97" s="1" t="str">
        <f t="shared" si="537"/>
        <v/>
      </c>
      <c r="CD97" s="1" t="str">
        <f t="shared" si="537"/>
        <v/>
      </c>
      <c r="CE97" s="1" t="str">
        <f t="shared" si="537"/>
        <v/>
      </c>
      <c r="CF97" s="1" t="str">
        <f t="shared" si="537"/>
        <v/>
      </c>
      <c r="CG97" s="1" t="str">
        <f t="shared" si="537"/>
        <v/>
      </c>
      <c r="CH97" s="1" t="str">
        <f t="shared" si="537"/>
        <v/>
      </c>
      <c r="CI97" s="1" t="str">
        <f t="shared" si="537"/>
        <v/>
      </c>
      <c r="CJ97" s="1" t="str">
        <f t="shared" si="537"/>
        <v/>
      </c>
      <c r="CK97" s="1" t="str">
        <f t="shared" si="537"/>
        <v/>
      </c>
      <c r="CL97" s="1" t="str">
        <f t="shared" si="537"/>
        <v/>
      </c>
      <c r="CM97" s="1" t="str">
        <f t="shared" si="537"/>
        <v/>
      </c>
      <c r="CN97" s="1" t="str">
        <f t="shared" si="537"/>
        <v/>
      </c>
      <c r="CO97" s="1" t="str">
        <f t="shared" si="537"/>
        <v/>
      </c>
      <c r="CP97" s="1" t="str">
        <f t="shared" si="537"/>
        <v/>
      </c>
      <c r="CQ97" s="1" t="str">
        <f t="shared" si="537"/>
        <v/>
      </c>
      <c r="CR97" s="1" t="str">
        <f t="shared" si="537"/>
        <v/>
      </c>
      <c r="CS97" s="1" t="str">
        <f t="shared" si="537"/>
        <v/>
      </c>
      <c r="CT97" s="1" t="str">
        <f t="shared" si="537"/>
        <v/>
      </c>
      <c r="CU97" s="1" t="str">
        <f t="shared" si="537"/>
        <v/>
      </c>
      <c r="CV97" s="1" t="str">
        <f t="shared" si="537"/>
        <v/>
      </c>
      <c r="CW97" s="1" t="str">
        <f t="shared" si="537"/>
        <v/>
      </c>
      <c r="CX97" s="1" t="str">
        <f t="shared" si="537"/>
        <v/>
      </c>
      <c r="CY97" s="1" t="str">
        <f t="shared" ref="CY97:DV97" si="538">+(IF($A97="","",IF($D97&gt;MONTH(CY$16)-MONTH(InicioFuncion)+12*(YEAR(CY$16)-YEAR(InicioFuncion))+1,0,IF($E97&lt;=(MONTH(CY$16)-MONTH(InicioFuncion)+12*(YEAR(CY$16)-YEAR(InicioFuncion)))-$D97+1,0,IF(CY$15&gt;$B$9,0,IF((YEAR($B$8)-YEAR($B$7))*12+(MONTH($B$8)-MONTH($B$7))+$E$14&lt;=CX$14,$C97))))*HLOOKUP(YEAR(CY$16),$E$3:$O$5,3,0)))</f>
        <v/>
      </c>
      <c r="CZ97" s="1" t="str">
        <f t="shared" si="538"/>
        <v/>
      </c>
      <c r="DA97" s="1" t="str">
        <f t="shared" si="538"/>
        <v/>
      </c>
      <c r="DB97" s="1" t="str">
        <f t="shared" si="538"/>
        <v/>
      </c>
      <c r="DC97" s="1" t="str">
        <f t="shared" si="538"/>
        <v/>
      </c>
      <c r="DD97" s="1" t="str">
        <f t="shared" si="538"/>
        <v/>
      </c>
      <c r="DE97" s="1" t="str">
        <f t="shared" si="538"/>
        <v/>
      </c>
      <c r="DF97" s="1" t="str">
        <f t="shared" si="538"/>
        <v/>
      </c>
      <c r="DG97" s="1" t="str">
        <f t="shared" si="538"/>
        <v/>
      </c>
      <c r="DH97" s="1" t="str">
        <f t="shared" si="538"/>
        <v/>
      </c>
      <c r="DI97" s="1" t="str">
        <f t="shared" si="538"/>
        <v/>
      </c>
      <c r="DJ97" s="1" t="str">
        <f t="shared" si="538"/>
        <v/>
      </c>
      <c r="DK97" s="1" t="str">
        <f t="shared" si="538"/>
        <v/>
      </c>
      <c r="DL97" s="1" t="str">
        <f t="shared" si="538"/>
        <v/>
      </c>
      <c r="DM97" s="1" t="str">
        <f t="shared" si="538"/>
        <v/>
      </c>
      <c r="DN97" s="1" t="str">
        <f t="shared" si="538"/>
        <v/>
      </c>
      <c r="DO97" s="1" t="str">
        <f t="shared" si="538"/>
        <v/>
      </c>
      <c r="DP97" s="1" t="str">
        <f t="shared" si="538"/>
        <v/>
      </c>
      <c r="DQ97" s="1" t="str">
        <f t="shared" si="538"/>
        <v/>
      </c>
      <c r="DR97" s="1" t="str">
        <f t="shared" si="538"/>
        <v/>
      </c>
      <c r="DS97" s="1" t="str">
        <f t="shared" si="538"/>
        <v/>
      </c>
      <c r="DT97" s="1" t="str">
        <f t="shared" si="538"/>
        <v/>
      </c>
      <c r="DU97" s="1" t="str">
        <f t="shared" si="538"/>
        <v/>
      </c>
      <c r="DV97" s="1" t="str">
        <f t="shared" si="538"/>
        <v/>
      </c>
    </row>
    <row r="98" spans="1:126" x14ac:dyDescent="0.25">
      <c r="A98" s="58"/>
      <c r="B98" s="32"/>
      <c r="C98" s="24"/>
      <c r="D98" s="1"/>
      <c r="E98" s="1"/>
      <c r="F98" s="1"/>
      <c r="G98" s="1" t="str">
        <f t="shared" ref="G98:AL98" si="539">+(IF($A98="","",IF($D98&gt;MONTH(G$16)-MONTH(InicioFuncion)+12*(YEAR(G$16)-YEAR(InicioFuncion))+1,0,IF($E98&lt;=(MONTH(G$16)-MONTH(InicioFuncion)+12*(YEAR(G$16)-YEAR(InicioFuncion)))-$D98+1,0,IF(G$15&gt;$B$9,0,IF((YEAR($B$8)-YEAR($B$7))*12+(MONTH($B$8)-MONTH($B$7))+$E$14&lt;=F$14,$C98))))*HLOOKUP(YEAR(G$16),$E$3:$O$5,3,0)))</f>
        <v/>
      </c>
      <c r="H98" s="1" t="str">
        <f t="shared" si="539"/>
        <v/>
      </c>
      <c r="I98" s="1" t="str">
        <f t="shared" si="539"/>
        <v/>
      </c>
      <c r="J98" s="1" t="str">
        <f t="shared" si="539"/>
        <v/>
      </c>
      <c r="K98" s="1" t="str">
        <f t="shared" si="539"/>
        <v/>
      </c>
      <c r="L98" s="1" t="str">
        <f t="shared" si="539"/>
        <v/>
      </c>
      <c r="M98" s="1" t="str">
        <f t="shared" si="539"/>
        <v/>
      </c>
      <c r="N98" s="1" t="str">
        <f t="shared" si="539"/>
        <v/>
      </c>
      <c r="O98" s="1" t="str">
        <f t="shared" si="539"/>
        <v/>
      </c>
      <c r="P98" s="1" t="str">
        <f t="shared" si="539"/>
        <v/>
      </c>
      <c r="Q98" s="1" t="str">
        <f t="shared" si="539"/>
        <v/>
      </c>
      <c r="R98" s="1" t="str">
        <f t="shared" si="539"/>
        <v/>
      </c>
      <c r="S98" s="1" t="str">
        <f t="shared" si="539"/>
        <v/>
      </c>
      <c r="T98" s="1" t="str">
        <f t="shared" si="539"/>
        <v/>
      </c>
      <c r="U98" s="1" t="str">
        <f t="shared" si="539"/>
        <v/>
      </c>
      <c r="V98" s="1" t="str">
        <f t="shared" si="539"/>
        <v/>
      </c>
      <c r="W98" s="1" t="str">
        <f t="shared" si="539"/>
        <v/>
      </c>
      <c r="X98" s="1" t="str">
        <f t="shared" si="539"/>
        <v/>
      </c>
      <c r="Y98" s="1" t="str">
        <f t="shared" si="539"/>
        <v/>
      </c>
      <c r="Z98" s="1" t="str">
        <f t="shared" si="539"/>
        <v/>
      </c>
      <c r="AA98" s="1" t="str">
        <f t="shared" si="539"/>
        <v/>
      </c>
      <c r="AB98" s="1" t="str">
        <f t="shared" si="539"/>
        <v/>
      </c>
      <c r="AC98" s="1" t="str">
        <f t="shared" si="539"/>
        <v/>
      </c>
      <c r="AD98" s="1" t="str">
        <f t="shared" si="539"/>
        <v/>
      </c>
      <c r="AE98" s="1" t="str">
        <f t="shared" si="539"/>
        <v/>
      </c>
      <c r="AF98" s="1" t="str">
        <f t="shared" si="539"/>
        <v/>
      </c>
      <c r="AG98" s="1" t="str">
        <f t="shared" si="539"/>
        <v/>
      </c>
      <c r="AH98" s="1" t="str">
        <f t="shared" si="539"/>
        <v/>
      </c>
      <c r="AI98" s="1" t="str">
        <f t="shared" si="539"/>
        <v/>
      </c>
      <c r="AJ98" s="1" t="str">
        <f t="shared" si="539"/>
        <v/>
      </c>
      <c r="AK98" s="1" t="str">
        <f t="shared" si="539"/>
        <v/>
      </c>
      <c r="AL98" s="1" t="str">
        <f t="shared" si="539"/>
        <v/>
      </c>
      <c r="AM98" s="1" t="str">
        <f t="shared" ref="AM98:BR98" si="540">+(IF($A98="","",IF($D98&gt;MONTH(AM$16)-MONTH(InicioFuncion)+12*(YEAR(AM$16)-YEAR(InicioFuncion))+1,0,IF($E98&lt;=(MONTH(AM$16)-MONTH(InicioFuncion)+12*(YEAR(AM$16)-YEAR(InicioFuncion)))-$D98+1,0,IF(AM$15&gt;$B$9,0,IF((YEAR($B$8)-YEAR($B$7))*12+(MONTH($B$8)-MONTH($B$7))+$E$14&lt;=AL$14,$C98))))*HLOOKUP(YEAR(AM$16),$E$3:$O$5,3,0)))</f>
        <v/>
      </c>
      <c r="AN98" s="1" t="str">
        <f t="shared" si="540"/>
        <v/>
      </c>
      <c r="AO98" s="1" t="str">
        <f t="shared" si="540"/>
        <v/>
      </c>
      <c r="AP98" s="1" t="str">
        <f t="shared" si="540"/>
        <v/>
      </c>
      <c r="AQ98" s="1" t="str">
        <f t="shared" si="540"/>
        <v/>
      </c>
      <c r="AR98" s="1" t="str">
        <f t="shared" si="540"/>
        <v/>
      </c>
      <c r="AS98" s="1" t="str">
        <f t="shared" si="540"/>
        <v/>
      </c>
      <c r="AT98" s="1" t="str">
        <f t="shared" si="540"/>
        <v/>
      </c>
      <c r="AU98" s="1" t="str">
        <f t="shared" si="540"/>
        <v/>
      </c>
      <c r="AV98" s="1" t="str">
        <f t="shared" si="540"/>
        <v/>
      </c>
      <c r="AW98" s="1" t="str">
        <f t="shared" si="540"/>
        <v/>
      </c>
      <c r="AX98" s="1" t="str">
        <f t="shared" si="540"/>
        <v/>
      </c>
      <c r="AY98" s="1" t="str">
        <f t="shared" si="540"/>
        <v/>
      </c>
      <c r="AZ98" s="1" t="str">
        <f t="shared" si="540"/>
        <v/>
      </c>
      <c r="BA98" s="1" t="str">
        <f t="shared" si="540"/>
        <v/>
      </c>
      <c r="BB98" s="1" t="str">
        <f t="shared" si="540"/>
        <v/>
      </c>
      <c r="BC98" s="1" t="str">
        <f t="shared" si="540"/>
        <v/>
      </c>
      <c r="BD98" s="1" t="str">
        <f t="shared" si="540"/>
        <v/>
      </c>
      <c r="BE98" s="1" t="str">
        <f t="shared" si="540"/>
        <v/>
      </c>
      <c r="BF98" s="1" t="str">
        <f t="shared" si="540"/>
        <v/>
      </c>
      <c r="BG98" s="1" t="str">
        <f t="shared" si="540"/>
        <v/>
      </c>
      <c r="BH98" s="1" t="str">
        <f t="shared" si="540"/>
        <v/>
      </c>
      <c r="BI98" s="1" t="str">
        <f t="shared" si="540"/>
        <v/>
      </c>
      <c r="BJ98" s="1" t="str">
        <f t="shared" si="540"/>
        <v/>
      </c>
      <c r="BK98" s="1" t="str">
        <f t="shared" si="540"/>
        <v/>
      </c>
      <c r="BL98" s="1" t="str">
        <f t="shared" si="540"/>
        <v/>
      </c>
      <c r="BM98" s="1" t="str">
        <f t="shared" si="540"/>
        <v/>
      </c>
      <c r="BN98" s="1" t="str">
        <f t="shared" si="540"/>
        <v/>
      </c>
      <c r="BO98" s="1" t="str">
        <f t="shared" si="540"/>
        <v/>
      </c>
      <c r="BP98" s="1" t="str">
        <f t="shared" si="540"/>
        <v/>
      </c>
      <c r="BQ98" s="1" t="str">
        <f t="shared" si="540"/>
        <v/>
      </c>
      <c r="BR98" s="1" t="str">
        <f t="shared" si="540"/>
        <v/>
      </c>
      <c r="BS98" s="1" t="str">
        <f t="shared" ref="BS98:CX98" si="541">+(IF($A98="","",IF($D98&gt;MONTH(BS$16)-MONTH(InicioFuncion)+12*(YEAR(BS$16)-YEAR(InicioFuncion))+1,0,IF($E98&lt;=(MONTH(BS$16)-MONTH(InicioFuncion)+12*(YEAR(BS$16)-YEAR(InicioFuncion)))-$D98+1,0,IF(BS$15&gt;$B$9,0,IF((YEAR($B$8)-YEAR($B$7))*12+(MONTH($B$8)-MONTH($B$7))+$E$14&lt;=BR$14,$C98))))*HLOOKUP(YEAR(BS$16),$E$3:$O$5,3,0)))</f>
        <v/>
      </c>
      <c r="BT98" s="1" t="str">
        <f t="shared" si="541"/>
        <v/>
      </c>
      <c r="BU98" s="1" t="str">
        <f t="shared" si="541"/>
        <v/>
      </c>
      <c r="BV98" s="1" t="str">
        <f t="shared" si="541"/>
        <v/>
      </c>
      <c r="BW98" s="1" t="str">
        <f t="shared" si="541"/>
        <v/>
      </c>
      <c r="BX98" s="1" t="str">
        <f t="shared" si="541"/>
        <v/>
      </c>
      <c r="BY98" s="1" t="str">
        <f t="shared" si="541"/>
        <v/>
      </c>
      <c r="BZ98" s="1" t="str">
        <f t="shared" si="541"/>
        <v/>
      </c>
      <c r="CA98" s="1" t="str">
        <f t="shared" si="541"/>
        <v/>
      </c>
      <c r="CB98" s="1" t="str">
        <f t="shared" si="541"/>
        <v/>
      </c>
      <c r="CC98" s="1" t="str">
        <f t="shared" si="541"/>
        <v/>
      </c>
      <c r="CD98" s="1" t="str">
        <f t="shared" si="541"/>
        <v/>
      </c>
      <c r="CE98" s="1" t="str">
        <f t="shared" si="541"/>
        <v/>
      </c>
      <c r="CF98" s="1" t="str">
        <f t="shared" si="541"/>
        <v/>
      </c>
      <c r="CG98" s="1" t="str">
        <f t="shared" si="541"/>
        <v/>
      </c>
      <c r="CH98" s="1" t="str">
        <f t="shared" si="541"/>
        <v/>
      </c>
      <c r="CI98" s="1" t="str">
        <f t="shared" si="541"/>
        <v/>
      </c>
      <c r="CJ98" s="1" t="str">
        <f t="shared" si="541"/>
        <v/>
      </c>
      <c r="CK98" s="1" t="str">
        <f t="shared" si="541"/>
        <v/>
      </c>
      <c r="CL98" s="1" t="str">
        <f t="shared" si="541"/>
        <v/>
      </c>
      <c r="CM98" s="1" t="str">
        <f t="shared" si="541"/>
        <v/>
      </c>
      <c r="CN98" s="1" t="str">
        <f t="shared" si="541"/>
        <v/>
      </c>
      <c r="CO98" s="1" t="str">
        <f t="shared" si="541"/>
        <v/>
      </c>
      <c r="CP98" s="1" t="str">
        <f t="shared" si="541"/>
        <v/>
      </c>
      <c r="CQ98" s="1" t="str">
        <f t="shared" si="541"/>
        <v/>
      </c>
      <c r="CR98" s="1" t="str">
        <f t="shared" si="541"/>
        <v/>
      </c>
      <c r="CS98" s="1" t="str">
        <f t="shared" si="541"/>
        <v/>
      </c>
      <c r="CT98" s="1" t="str">
        <f t="shared" si="541"/>
        <v/>
      </c>
      <c r="CU98" s="1" t="str">
        <f t="shared" si="541"/>
        <v/>
      </c>
      <c r="CV98" s="1" t="str">
        <f t="shared" si="541"/>
        <v/>
      </c>
      <c r="CW98" s="1" t="str">
        <f t="shared" si="541"/>
        <v/>
      </c>
      <c r="CX98" s="1" t="str">
        <f t="shared" si="541"/>
        <v/>
      </c>
      <c r="CY98" s="1" t="str">
        <f t="shared" ref="CY98:DV98" si="542">+(IF($A98="","",IF($D98&gt;MONTH(CY$16)-MONTH(InicioFuncion)+12*(YEAR(CY$16)-YEAR(InicioFuncion))+1,0,IF($E98&lt;=(MONTH(CY$16)-MONTH(InicioFuncion)+12*(YEAR(CY$16)-YEAR(InicioFuncion)))-$D98+1,0,IF(CY$15&gt;$B$9,0,IF((YEAR($B$8)-YEAR($B$7))*12+(MONTH($B$8)-MONTH($B$7))+$E$14&lt;=CX$14,$C98))))*HLOOKUP(YEAR(CY$16),$E$3:$O$5,3,0)))</f>
        <v/>
      </c>
      <c r="CZ98" s="1" t="str">
        <f t="shared" si="542"/>
        <v/>
      </c>
      <c r="DA98" s="1" t="str">
        <f t="shared" si="542"/>
        <v/>
      </c>
      <c r="DB98" s="1" t="str">
        <f t="shared" si="542"/>
        <v/>
      </c>
      <c r="DC98" s="1" t="str">
        <f t="shared" si="542"/>
        <v/>
      </c>
      <c r="DD98" s="1" t="str">
        <f t="shared" si="542"/>
        <v/>
      </c>
      <c r="DE98" s="1" t="str">
        <f t="shared" si="542"/>
        <v/>
      </c>
      <c r="DF98" s="1" t="str">
        <f t="shared" si="542"/>
        <v/>
      </c>
      <c r="DG98" s="1" t="str">
        <f t="shared" si="542"/>
        <v/>
      </c>
      <c r="DH98" s="1" t="str">
        <f t="shared" si="542"/>
        <v/>
      </c>
      <c r="DI98" s="1" t="str">
        <f t="shared" si="542"/>
        <v/>
      </c>
      <c r="DJ98" s="1" t="str">
        <f t="shared" si="542"/>
        <v/>
      </c>
      <c r="DK98" s="1" t="str">
        <f t="shared" si="542"/>
        <v/>
      </c>
      <c r="DL98" s="1" t="str">
        <f t="shared" si="542"/>
        <v/>
      </c>
      <c r="DM98" s="1" t="str">
        <f t="shared" si="542"/>
        <v/>
      </c>
      <c r="DN98" s="1" t="str">
        <f t="shared" si="542"/>
        <v/>
      </c>
      <c r="DO98" s="1" t="str">
        <f t="shared" si="542"/>
        <v/>
      </c>
      <c r="DP98" s="1" t="str">
        <f t="shared" si="542"/>
        <v/>
      </c>
      <c r="DQ98" s="1" t="str">
        <f t="shared" si="542"/>
        <v/>
      </c>
      <c r="DR98" s="1" t="str">
        <f t="shared" si="542"/>
        <v/>
      </c>
      <c r="DS98" s="1" t="str">
        <f t="shared" si="542"/>
        <v/>
      </c>
      <c r="DT98" s="1" t="str">
        <f t="shared" si="542"/>
        <v/>
      </c>
      <c r="DU98" s="1" t="str">
        <f t="shared" si="542"/>
        <v/>
      </c>
      <c r="DV98" s="1" t="str">
        <f t="shared" si="542"/>
        <v/>
      </c>
    </row>
    <row r="99" spans="1:126" x14ac:dyDescent="0.25">
      <c r="A99" s="58"/>
      <c r="B99" s="32"/>
      <c r="C99" s="24"/>
      <c r="D99" s="1"/>
      <c r="E99" s="1"/>
      <c r="F99" s="1"/>
      <c r="G99" s="1" t="str">
        <f t="shared" ref="G99:AL99" si="543">+(IF($A99="","",IF($D99&gt;MONTH(G$16)-MONTH(InicioFuncion)+12*(YEAR(G$16)-YEAR(InicioFuncion))+1,0,IF($E99&lt;=(MONTH(G$16)-MONTH(InicioFuncion)+12*(YEAR(G$16)-YEAR(InicioFuncion)))-$D99+1,0,IF(G$15&gt;$B$9,0,IF((YEAR($B$8)-YEAR($B$7))*12+(MONTH($B$8)-MONTH($B$7))+$E$14&lt;=F$14,$C99))))*HLOOKUP(YEAR(G$16),$E$3:$O$5,3,0)))</f>
        <v/>
      </c>
      <c r="H99" s="1" t="str">
        <f t="shared" si="543"/>
        <v/>
      </c>
      <c r="I99" s="1" t="str">
        <f t="shared" si="543"/>
        <v/>
      </c>
      <c r="J99" s="1" t="str">
        <f t="shared" si="543"/>
        <v/>
      </c>
      <c r="K99" s="1" t="str">
        <f t="shared" si="543"/>
        <v/>
      </c>
      <c r="L99" s="1" t="str">
        <f t="shared" si="543"/>
        <v/>
      </c>
      <c r="M99" s="1" t="str">
        <f t="shared" si="543"/>
        <v/>
      </c>
      <c r="N99" s="1" t="str">
        <f t="shared" si="543"/>
        <v/>
      </c>
      <c r="O99" s="1" t="str">
        <f t="shared" si="543"/>
        <v/>
      </c>
      <c r="P99" s="1" t="str">
        <f t="shared" si="543"/>
        <v/>
      </c>
      <c r="Q99" s="1" t="str">
        <f t="shared" si="543"/>
        <v/>
      </c>
      <c r="R99" s="1" t="str">
        <f t="shared" si="543"/>
        <v/>
      </c>
      <c r="S99" s="1" t="str">
        <f t="shared" si="543"/>
        <v/>
      </c>
      <c r="T99" s="1" t="str">
        <f t="shared" si="543"/>
        <v/>
      </c>
      <c r="U99" s="1" t="str">
        <f t="shared" si="543"/>
        <v/>
      </c>
      <c r="V99" s="1" t="str">
        <f t="shared" si="543"/>
        <v/>
      </c>
      <c r="W99" s="1" t="str">
        <f t="shared" si="543"/>
        <v/>
      </c>
      <c r="X99" s="1" t="str">
        <f t="shared" si="543"/>
        <v/>
      </c>
      <c r="Y99" s="1" t="str">
        <f t="shared" si="543"/>
        <v/>
      </c>
      <c r="Z99" s="1" t="str">
        <f t="shared" si="543"/>
        <v/>
      </c>
      <c r="AA99" s="1" t="str">
        <f t="shared" si="543"/>
        <v/>
      </c>
      <c r="AB99" s="1" t="str">
        <f t="shared" si="543"/>
        <v/>
      </c>
      <c r="AC99" s="1" t="str">
        <f t="shared" si="543"/>
        <v/>
      </c>
      <c r="AD99" s="1" t="str">
        <f t="shared" si="543"/>
        <v/>
      </c>
      <c r="AE99" s="1" t="str">
        <f t="shared" si="543"/>
        <v/>
      </c>
      <c r="AF99" s="1" t="str">
        <f t="shared" si="543"/>
        <v/>
      </c>
      <c r="AG99" s="1" t="str">
        <f t="shared" si="543"/>
        <v/>
      </c>
      <c r="AH99" s="1" t="str">
        <f t="shared" si="543"/>
        <v/>
      </c>
      <c r="AI99" s="1" t="str">
        <f t="shared" si="543"/>
        <v/>
      </c>
      <c r="AJ99" s="1" t="str">
        <f t="shared" si="543"/>
        <v/>
      </c>
      <c r="AK99" s="1" t="str">
        <f t="shared" si="543"/>
        <v/>
      </c>
      <c r="AL99" s="1" t="str">
        <f t="shared" si="543"/>
        <v/>
      </c>
      <c r="AM99" s="1" t="str">
        <f t="shared" ref="AM99:BR99" si="544">+(IF($A99="","",IF($D99&gt;MONTH(AM$16)-MONTH(InicioFuncion)+12*(YEAR(AM$16)-YEAR(InicioFuncion))+1,0,IF($E99&lt;=(MONTH(AM$16)-MONTH(InicioFuncion)+12*(YEAR(AM$16)-YEAR(InicioFuncion)))-$D99+1,0,IF(AM$15&gt;$B$9,0,IF((YEAR($B$8)-YEAR($B$7))*12+(MONTH($B$8)-MONTH($B$7))+$E$14&lt;=AL$14,$C99))))*HLOOKUP(YEAR(AM$16),$E$3:$O$5,3,0)))</f>
        <v/>
      </c>
      <c r="AN99" s="1" t="str">
        <f t="shared" si="544"/>
        <v/>
      </c>
      <c r="AO99" s="1" t="str">
        <f t="shared" si="544"/>
        <v/>
      </c>
      <c r="AP99" s="1" t="str">
        <f t="shared" si="544"/>
        <v/>
      </c>
      <c r="AQ99" s="1" t="str">
        <f t="shared" si="544"/>
        <v/>
      </c>
      <c r="AR99" s="1" t="str">
        <f t="shared" si="544"/>
        <v/>
      </c>
      <c r="AS99" s="1" t="str">
        <f t="shared" si="544"/>
        <v/>
      </c>
      <c r="AT99" s="1" t="str">
        <f t="shared" si="544"/>
        <v/>
      </c>
      <c r="AU99" s="1" t="str">
        <f t="shared" si="544"/>
        <v/>
      </c>
      <c r="AV99" s="1" t="str">
        <f t="shared" si="544"/>
        <v/>
      </c>
      <c r="AW99" s="1" t="str">
        <f t="shared" si="544"/>
        <v/>
      </c>
      <c r="AX99" s="1" t="str">
        <f t="shared" si="544"/>
        <v/>
      </c>
      <c r="AY99" s="1" t="str">
        <f t="shared" si="544"/>
        <v/>
      </c>
      <c r="AZ99" s="1" t="str">
        <f t="shared" si="544"/>
        <v/>
      </c>
      <c r="BA99" s="1" t="str">
        <f t="shared" si="544"/>
        <v/>
      </c>
      <c r="BB99" s="1" t="str">
        <f t="shared" si="544"/>
        <v/>
      </c>
      <c r="BC99" s="1" t="str">
        <f t="shared" si="544"/>
        <v/>
      </c>
      <c r="BD99" s="1" t="str">
        <f t="shared" si="544"/>
        <v/>
      </c>
      <c r="BE99" s="1" t="str">
        <f t="shared" si="544"/>
        <v/>
      </c>
      <c r="BF99" s="1" t="str">
        <f t="shared" si="544"/>
        <v/>
      </c>
      <c r="BG99" s="1" t="str">
        <f t="shared" si="544"/>
        <v/>
      </c>
      <c r="BH99" s="1" t="str">
        <f t="shared" si="544"/>
        <v/>
      </c>
      <c r="BI99" s="1" t="str">
        <f t="shared" si="544"/>
        <v/>
      </c>
      <c r="BJ99" s="1" t="str">
        <f t="shared" si="544"/>
        <v/>
      </c>
      <c r="BK99" s="1" t="str">
        <f t="shared" si="544"/>
        <v/>
      </c>
      <c r="BL99" s="1" t="str">
        <f t="shared" si="544"/>
        <v/>
      </c>
      <c r="BM99" s="1" t="str">
        <f t="shared" si="544"/>
        <v/>
      </c>
      <c r="BN99" s="1" t="str">
        <f t="shared" si="544"/>
        <v/>
      </c>
      <c r="BO99" s="1" t="str">
        <f t="shared" si="544"/>
        <v/>
      </c>
      <c r="BP99" s="1" t="str">
        <f t="shared" si="544"/>
        <v/>
      </c>
      <c r="BQ99" s="1" t="str">
        <f t="shared" si="544"/>
        <v/>
      </c>
      <c r="BR99" s="1" t="str">
        <f t="shared" si="544"/>
        <v/>
      </c>
      <c r="BS99" s="1" t="str">
        <f t="shared" ref="BS99:CX99" si="545">+(IF($A99="","",IF($D99&gt;MONTH(BS$16)-MONTH(InicioFuncion)+12*(YEAR(BS$16)-YEAR(InicioFuncion))+1,0,IF($E99&lt;=(MONTH(BS$16)-MONTH(InicioFuncion)+12*(YEAR(BS$16)-YEAR(InicioFuncion)))-$D99+1,0,IF(BS$15&gt;$B$9,0,IF((YEAR($B$8)-YEAR($B$7))*12+(MONTH($B$8)-MONTH($B$7))+$E$14&lt;=BR$14,$C99))))*HLOOKUP(YEAR(BS$16),$E$3:$O$5,3,0)))</f>
        <v/>
      </c>
      <c r="BT99" s="1" t="str">
        <f t="shared" si="545"/>
        <v/>
      </c>
      <c r="BU99" s="1" t="str">
        <f t="shared" si="545"/>
        <v/>
      </c>
      <c r="BV99" s="1" t="str">
        <f t="shared" si="545"/>
        <v/>
      </c>
      <c r="BW99" s="1" t="str">
        <f t="shared" si="545"/>
        <v/>
      </c>
      <c r="BX99" s="1" t="str">
        <f t="shared" si="545"/>
        <v/>
      </c>
      <c r="BY99" s="1" t="str">
        <f t="shared" si="545"/>
        <v/>
      </c>
      <c r="BZ99" s="1" t="str">
        <f t="shared" si="545"/>
        <v/>
      </c>
      <c r="CA99" s="1" t="str">
        <f t="shared" si="545"/>
        <v/>
      </c>
      <c r="CB99" s="1" t="str">
        <f t="shared" si="545"/>
        <v/>
      </c>
      <c r="CC99" s="1" t="str">
        <f t="shared" si="545"/>
        <v/>
      </c>
      <c r="CD99" s="1" t="str">
        <f t="shared" si="545"/>
        <v/>
      </c>
      <c r="CE99" s="1" t="str">
        <f t="shared" si="545"/>
        <v/>
      </c>
      <c r="CF99" s="1" t="str">
        <f t="shared" si="545"/>
        <v/>
      </c>
      <c r="CG99" s="1" t="str">
        <f t="shared" si="545"/>
        <v/>
      </c>
      <c r="CH99" s="1" t="str">
        <f t="shared" si="545"/>
        <v/>
      </c>
      <c r="CI99" s="1" t="str">
        <f t="shared" si="545"/>
        <v/>
      </c>
      <c r="CJ99" s="1" t="str">
        <f t="shared" si="545"/>
        <v/>
      </c>
      <c r="CK99" s="1" t="str">
        <f t="shared" si="545"/>
        <v/>
      </c>
      <c r="CL99" s="1" t="str">
        <f t="shared" si="545"/>
        <v/>
      </c>
      <c r="CM99" s="1" t="str">
        <f t="shared" si="545"/>
        <v/>
      </c>
      <c r="CN99" s="1" t="str">
        <f t="shared" si="545"/>
        <v/>
      </c>
      <c r="CO99" s="1" t="str">
        <f t="shared" si="545"/>
        <v/>
      </c>
      <c r="CP99" s="1" t="str">
        <f t="shared" si="545"/>
        <v/>
      </c>
      <c r="CQ99" s="1" t="str">
        <f t="shared" si="545"/>
        <v/>
      </c>
      <c r="CR99" s="1" t="str">
        <f t="shared" si="545"/>
        <v/>
      </c>
      <c r="CS99" s="1" t="str">
        <f t="shared" si="545"/>
        <v/>
      </c>
      <c r="CT99" s="1" t="str">
        <f t="shared" si="545"/>
        <v/>
      </c>
      <c r="CU99" s="1" t="str">
        <f t="shared" si="545"/>
        <v/>
      </c>
      <c r="CV99" s="1" t="str">
        <f t="shared" si="545"/>
        <v/>
      </c>
      <c r="CW99" s="1" t="str">
        <f t="shared" si="545"/>
        <v/>
      </c>
      <c r="CX99" s="1" t="str">
        <f t="shared" si="545"/>
        <v/>
      </c>
      <c r="CY99" s="1" t="str">
        <f t="shared" ref="CY99:DV99" si="546">+(IF($A99="","",IF($D99&gt;MONTH(CY$16)-MONTH(InicioFuncion)+12*(YEAR(CY$16)-YEAR(InicioFuncion))+1,0,IF($E99&lt;=(MONTH(CY$16)-MONTH(InicioFuncion)+12*(YEAR(CY$16)-YEAR(InicioFuncion)))-$D99+1,0,IF(CY$15&gt;$B$9,0,IF((YEAR($B$8)-YEAR($B$7))*12+(MONTH($B$8)-MONTH($B$7))+$E$14&lt;=CX$14,$C99))))*HLOOKUP(YEAR(CY$16),$E$3:$O$5,3,0)))</f>
        <v/>
      </c>
      <c r="CZ99" s="1" t="str">
        <f t="shared" si="546"/>
        <v/>
      </c>
      <c r="DA99" s="1" t="str">
        <f t="shared" si="546"/>
        <v/>
      </c>
      <c r="DB99" s="1" t="str">
        <f t="shared" si="546"/>
        <v/>
      </c>
      <c r="DC99" s="1" t="str">
        <f t="shared" si="546"/>
        <v/>
      </c>
      <c r="DD99" s="1" t="str">
        <f t="shared" si="546"/>
        <v/>
      </c>
      <c r="DE99" s="1" t="str">
        <f t="shared" si="546"/>
        <v/>
      </c>
      <c r="DF99" s="1" t="str">
        <f t="shared" si="546"/>
        <v/>
      </c>
      <c r="DG99" s="1" t="str">
        <f t="shared" si="546"/>
        <v/>
      </c>
      <c r="DH99" s="1" t="str">
        <f t="shared" si="546"/>
        <v/>
      </c>
      <c r="DI99" s="1" t="str">
        <f t="shared" si="546"/>
        <v/>
      </c>
      <c r="DJ99" s="1" t="str">
        <f t="shared" si="546"/>
        <v/>
      </c>
      <c r="DK99" s="1" t="str">
        <f t="shared" si="546"/>
        <v/>
      </c>
      <c r="DL99" s="1" t="str">
        <f t="shared" si="546"/>
        <v/>
      </c>
      <c r="DM99" s="1" t="str">
        <f t="shared" si="546"/>
        <v/>
      </c>
      <c r="DN99" s="1" t="str">
        <f t="shared" si="546"/>
        <v/>
      </c>
      <c r="DO99" s="1" t="str">
        <f t="shared" si="546"/>
        <v/>
      </c>
      <c r="DP99" s="1" t="str">
        <f t="shared" si="546"/>
        <v/>
      </c>
      <c r="DQ99" s="1" t="str">
        <f t="shared" si="546"/>
        <v/>
      </c>
      <c r="DR99" s="1" t="str">
        <f t="shared" si="546"/>
        <v/>
      </c>
      <c r="DS99" s="1" t="str">
        <f t="shared" si="546"/>
        <v/>
      </c>
      <c r="DT99" s="1" t="str">
        <f t="shared" si="546"/>
        <v/>
      </c>
      <c r="DU99" s="1" t="str">
        <f t="shared" si="546"/>
        <v/>
      </c>
      <c r="DV99" s="1" t="str">
        <f t="shared" si="546"/>
        <v/>
      </c>
    </row>
    <row r="100" spans="1:126" x14ac:dyDescent="0.25">
      <c r="A100" s="58"/>
      <c r="B100" s="32"/>
      <c r="C100" s="24"/>
      <c r="D100" s="1"/>
      <c r="E100" s="1"/>
      <c r="F100" s="1"/>
      <c r="G100" s="1" t="str">
        <f t="shared" ref="G100:AL100" si="547">+(IF($A100="","",IF($D100&gt;MONTH(G$16)-MONTH(InicioFuncion)+12*(YEAR(G$16)-YEAR(InicioFuncion))+1,0,IF($E100&lt;=(MONTH(G$16)-MONTH(InicioFuncion)+12*(YEAR(G$16)-YEAR(InicioFuncion)))-$D100+1,0,IF(G$15&gt;$B$9,0,IF((YEAR($B$8)-YEAR($B$7))*12+(MONTH($B$8)-MONTH($B$7))+$E$14&lt;=F$14,$C100))))*HLOOKUP(YEAR(G$16),$E$3:$O$5,3,0)))</f>
        <v/>
      </c>
      <c r="H100" s="1" t="str">
        <f t="shared" si="547"/>
        <v/>
      </c>
      <c r="I100" s="1" t="str">
        <f t="shared" si="547"/>
        <v/>
      </c>
      <c r="J100" s="1" t="str">
        <f t="shared" si="547"/>
        <v/>
      </c>
      <c r="K100" s="1" t="str">
        <f t="shared" si="547"/>
        <v/>
      </c>
      <c r="L100" s="1" t="str">
        <f t="shared" si="547"/>
        <v/>
      </c>
      <c r="M100" s="1" t="str">
        <f t="shared" si="547"/>
        <v/>
      </c>
      <c r="N100" s="1" t="str">
        <f t="shared" si="547"/>
        <v/>
      </c>
      <c r="O100" s="1" t="str">
        <f t="shared" si="547"/>
        <v/>
      </c>
      <c r="P100" s="1" t="str">
        <f t="shared" si="547"/>
        <v/>
      </c>
      <c r="Q100" s="1" t="str">
        <f t="shared" si="547"/>
        <v/>
      </c>
      <c r="R100" s="1" t="str">
        <f t="shared" si="547"/>
        <v/>
      </c>
      <c r="S100" s="1" t="str">
        <f t="shared" si="547"/>
        <v/>
      </c>
      <c r="T100" s="1" t="str">
        <f t="shared" si="547"/>
        <v/>
      </c>
      <c r="U100" s="1" t="str">
        <f t="shared" si="547"/>
        <v/>
      </c>
      <c r="V100" s="1" t="str">
        <f t="shared" si="547"/>
        <v/>
      </c>
      <c r="W100" s="1" t="str">
        <f t="shared" si="547"/>
        <v/>
      </c>
      <c r="X100" s="1" t="str">
        <f t="shared" si="547"/>
        <v/>
      </c>
      <c r="Y100" s="1" t="str">
        <f t="shared" si="547"/>
        <v/>
      </c>
      <c r="Z100" s="1" t="str">
        <f t="shared" si="547"/>
        <v/>
      </c>
      <c r="AA100" s="1" t="str">
        <f t="shared" si="547"/>
        <v/>
      </c>
      <c r="AB100" s="1" t="str">
        <f t="shared" si="547"/>
        <v/>
      </c>
      <c r="AC100" s="1" t="str">
        <f t="shared" si="547"/>
        <v/>
      </c>
      <c r="AD100" s="1" t="str">
        <f t="shared" si="547"/>
        <v/>
      </c>
      <c r="AE100" s="1" t="str">
        <f t="shared" si="547"/>
        <v/>
      </c>
      <c r="AF100" s="1" t="str">
        <f t="shared" si="547"/>
        <v/>
      </c>
      <c r="AG100" s="1" t="str">
        <f t="shared" si="547"/>
        <v/>
      </c>
      <c r="AH100" s="1" t="str">
        <f t="shared" si="547"/>
        <v/>
      </c>
      <c r="AI100" s="1" t="str">
        <f t="shared" si="547"/>
        <v/>
      </c>
      <c r="AJ100" s="1" t="str">
        <f t="shared" si="547"/>
        <v/>
      </c>
      <c r="AK100" s="1" t="str">
        <f t="shared" si="547"/>
        <v/>
      </c>
      <c r="AL100" s="1" t="str">
        <f t="shared" si="547"/>
        <v/>
      </c>
      <c r="AM100" s="1" t="str">
        <f t="shared" ref="AM100:BR100" si="548">+(IF($A100="","",IF($D100&gt;MONTH(AM$16)-MONTH(InicioFuncion)+12*(YEAR(AM$16)-YEAR(InicioFuncion))+1,0,IF($E100&lt;=(MONTH(AM$16)-MONTH(InicioFuncion)+12*(YEAR(AM$16)-YEAR(InicioFuncion)))-$D100+1,0,IF(AM$15&gt;$B$9,0,IF((YEAR($B$8)-YEAR($B$7))*12+(MONTH($B$8)-MONTH($B$7))+$E$14&lt;=AL$14,$C100))))*HLOOKUP(YEAR(AM$16),$E$3:$O$5,3,0)))</f>
        <v/>
      </c>
      <c r="AN100" s="1" t="str">
        <f t="shared" si="548"/>
        <v/>
      </c>
      <c r="AO100" s="1" t="str">
        <f t="shared" si="548"/>
        <v/>
      </c>
      <c r="AP100" s="1" t="str">
        <f t="shared" si="548"/>
        <v/>
      </c>
      <c r="AQ100" s="1" t="str">
        <f t="shared" si="548"/>
        <v/>
      </c>
      <c r="AR100" s="1" t="str">
        <f t="shared" si="548"/>
        <v/>
      </c>
      <c r="AS100" s="1" t="str">
        <f t="shared" si="548"/>
        <v/>
      </c>
      <c r="AT100" s="1" t="str">
        <f t="shared" si="548"/>
        <v/>
      </c>
      <c r="AU100" s="1" t="str">
        <f t="shared" si="548"/>
        <v/>
      </c>
      <c r="AV100" s="1" t="str">
        <f t="shared" si="548"/>
        <v/>
      </c>
      <c r="AW100" s="1" t="str">
        <f t="shared" si="548"/>
        <v/>
      </c>
      <c r="AX100" s="1" t="str">
        <f t="shared" si="548"/>
        <v/>
      </c>
      <c r="AY100" s="1" t="str">
        <f t="shared" si="548"/>
        <v/>
      </c>
      <c r="AZ100" s="1" t="str">
        <f t="shared" si="548"/>
        <v/>
      </c>
      <c r="BA100" s="1" t="str">
        <f t="shared" si="548"/>
        <v/>
      </c>
      <c r="BB100" s="1" t="str">
        <f t="shared" si="548"/>
        <v/>
      </c>
      <c r="BC100" s="1" t="str">
        <f t="shared" si="548"/>
        <v/>
      </c>
      <c r="BD100" s="1" t="str">
        <f t="shared" si="548"/>
        <v/>
      </c>
      <c r="BE100" s="1" t="str">
        <f t="shared" si="548"/>
        <v/>
      </c>
      <c r="BF100" s="1" t="str">
        <f t="shared" si="548"/>
        <v/>
      </c>
      <c r="BG100" s="1" t="str">
        <f t="shared" si="548"/>
        <v/>
      </c>
      <c r="BH100" s="1" t="str">
        <f t="shared" si="548"/>
        <v/>
      </c>
      <c r="BI100" s="1" t="str">
        <f t="shared" si="548"/>
        <v/>
      </c>
      <c r="BJ100" s="1" t="str">
        <f t="shared" si="548"/>
        <v/>
      </c>
      <c r="BK100" s="1" t="str">
        <f t="shared" si="548"/>
        <v/>
      </c>
      <c r="BL100" s="1" t="str">
        <f t="shared" si="548"/>
        <v/>
      </c>
      <c r="BM100" s="1" t="str">
        <f t="shared" si="548"/>
        <v/>
      </c>
      <c r="BN100" s="1" t="str">
        <f t="shared" si="548"/>
        <v/>
      </c>
      <c r="BO100" s="1" t="str">
        <f t="shared" si="548"/>
        <v/>
      </c>
      <c r="BP100" s="1" t="str">
        <f t="shared" si="548"/>
        <v/>
      </c>
      <c r="BQ100" s="1" t="str">
        <f t="shared" si="548"/>
        <v/>
      </c>
      <c r="BR100" s="1" t="str">
        <f t="shared" si="548"/>
        <v/>
      </c>
      <c r="BS100" s="1" t="str">
        <f t="shared" ref="BS100:CX100" si="549">+(IF($A100="","",IF($D100&gt;MONTH(BS$16)-MONTH(InicioFuncion)+12*(YEAR(BS$16)-YEAR(InicioFuncion))+1,0,IF($E100&lt;=(MONTH(BS$16)-MONTH(InicioFuncion)+12*(YEAR(BS$16)-YEAR(InicioFuncion)))-$D100+1,0,IF(BS$15&gt;$B$9,0,IF((YEAR($B$8)-YEAR($B$7))*12+(MONTH($B$8)-MONTH($B$7))+$E$14&lt;=BR$14,$C100))))*HLOOKUP(YEAR(BS$16),$E$3:$O$5,3,0)))</f>
        <v/>
      </c>
      <c r="BT100" s="1" t="str">
        <f t="shared" si="549"/>
        <v/>
      </c>
      <c r="BU100" s="1" t="str">
        <f t="shared" si="549"/>
        <v/>
      </c>
      <c r="BV100" s="1" t="str">
        <f t="shared" si="549"/>
        <v/>
      </c>
      <c r="BW100" s="1" t="str">
        <f t="shared" si="549"/>
        <v/>
      </c>
      <c r="BX100" s="1" t="str">
        <f t="shared" si="549"/>
        <v/>
      </c>
      <c r="BY100" s="1" t="str">
        <f t="shared" si="549"/>
        <v/>
      </c>
      <c r="BZ100" s="1" t="str">
        <f t="shared" si="549"/>
        <v/>
      </c>
      <c r="CA100" s="1" t="str">
        <f t="shared" si="549"/>
        <v/>
      </c>
      <c r="CB100" s="1" t="str">
        <f t="shared" si="549"/>
        <v/>
      </c>
      <c r="CC100" s="1" t="str">
        <f t="shared" si="549"/>
        <v/>
      </c>
      <c r="CD100" s="1" t="str">
        <f t="shared" si="549"/>
        <v/>
      </c>
      <c r="CE100" s="1" t="str">
        <f t="shared" si="549"/>
        <v/>
      </c>
      <c r="CF100" s="1" t="str">
        <f t="shared" si="549"/>
        <v/>
      </c>
      <c r="CG100" s="1" t="str">
        <f t="shared" si="549"/>
        <v/>
      </c>
      <c r="CH100" s="1" t="str">
        <f t="shared" si="549"/>
        <v/>
      </c>
      <c r="CI100" s="1" t="str">
        <f t="shared" si="549"/>
        <v/>
      </c>
      <c r="CJ100" s="1" t="str">
        <f t="shared" si="549"/>
        <v/>
      </c>
      <c r="CK100" s="1" t="str">
        <f t="shared" si="549"/>
        <v/>
      </c>
      <c r="CL100" s="1" t="str">
        <f t="shared" si="549"/>
        <v/>
      </c>
      <c r="CM100" s="1" t="str">
        <f t="shared" si="549"/>
        <v/>
      </c>
      <c r="CN100" s="1" t="str">
        <f t="shared" si="549"/>
        <v/>
      </c>
      <c r="CO100" s="1" t="str">
        <f t="shared" si="549"/>
        <v/>
      </c>
      <c r="CP100" s="1" t="str">
        <f t="shared" si="549"/>
        <v/>
      </c>
      <c r="CQ100" s="1" t="str">
        <f t="shared" si="549"/>
        <v/>
      </c>
      <c r="CR100" s="1" t="str">
        <f t="shared" si="549"/>
        <v/>
      </c>
      <c r="CS100" s="1" t="str">
        <f t="shared" si="549"/>
        <v/>
      </c>
      <c r="CT100" s="1" t="str">
        <f t="shared" si="549"/>
        <v/>
      </c>
      <c r="CU100" s="1" t="str">
        <f t="shared" si="549"/>
        <v/>
      </c>
      <c r="CV100" s="1" t="str">
        <f t="shared" si="549"/>
        <v/>
      </c>
      <c r="CW100" s="1" t="str">
        <f t="shared" si="549"/>
        <v/>
      </c>
      <c r="CX100" s="1" t="str">
        <f t="shared" si="549"/>
        <v/>
      </c>
      <c r="CY100" s="1" t="str">
        <f t="shared" ref="CY100:DV100" si="550">+(IF($A100="","",IF($D100&gt;MONTH(CY$16)-MONTH(InicioFuncion)+12*(YEAR(CY$16)-YEAR(InicioFuncion))+1,0,IF($E100&lt;=(MONTH(CY$16)-MONTH(InicioFuncion)+12*(YEAR(CY$16)-YEAR(InicioFuncion)))-$D100+1,0,IF(CY$15&gt;$B$9,0,IF((YEAR($B$8)-YEAR($B$7))*12+(MONTH($B$8)-MONTH($B$7))+$E$14&lt;=CX$14,$C100))))*HLOOKUP(YEAR(CY$16),$E$3:$O$5,3,0)))</f>
        <v/>
      </c>
      <c r="CZ100" s="1" t="str">
        <f t="shared" si="550"/>
        <v/>
      </c>
      <c r="DA100" s="1" t="str">
        <f t="shared" si="550"/>
        <v/>
      </c>
      <c r="DB100" s="1" t="str">
        <f t="shared" si="550"/>
        <v/>
      </c>
      <c r="DC100" s="1" t="str">
        <f t="shared" si="550"/>
        <v/>
      </c>
      <c r="DD100" s="1" t="str">
        <f t="shared" si="550"/>
        <v/>
      </c>
      <c r="DE100" s="1" t="str">
        <f t="shared" si="550"/>
        <v/>
      </c>
      <c r="DF100" s="1" t="str">
        <f t="shared" si="550"/>
        <v/>
      </c>
      <c r="DG100" s="1" t="str">
        <f t="shared" si="550"/>
        <v/>
      </c>
      <c r="DH100" s="1" t="str">
        <f t="shared" si="550"/>
        <v/>
      </c>
      <c r="DI100" s="1" t="str">
        <f t="shared" si="550"/>
        <v/>
      </c>
      <c r="DJ100" s="1" t="str">
        <f t="shared" si="550"/>
        <v/>
      </c>
      <c r="DK100" s="1" t="str">
        <f t="shared" si="550"/>
        <v/>
      </c>
      <c r="DL100" s="1" t="str">
        <f t="shared" si="550"/>
        <v/>
      </c>
      <c r="DM100" s="1" t="str">
        <f t="shared" si="550"/>
        <v/>
      </c>
      <c r="DN100" s="1" t="str">
        <f t="shared" si="550"/>
        <v/>
      </c>
      <c r="DO100" s="1" t="str">
        <f t="shared" si="550"/>
        <v/>
      </c>
      <c r="DP100" s="1" t="str">
        <f t="shared" si="550"/>
        <v/>
      </c>
      <c r="DQ100" s="1" t="str">
        <f t="shared" si="550"/>
        <v/>
      </c>
      <c r="DR100" s="1" t="str">
        <f t="shared" si="550"/>
        <v/>
      </c>
      <c r="DS100" s="1" t="str">
        <f t="shared" si="550"/>
        <v/>
      </c>
      <c r="DT100" s="1" t="str">
        <f t="shared" si="550"/>
        <v/>
      </c>
      <c r="DU100" s="1" t="str">
        <f t="shared" si="550"/>
        <v/>
      </c>
      <c r="DV100" s="1" t="str">
        <f t="shared" si="550"/>
        <v/>
      </c>
    </row>
    <row r="101" spans="1:126" x14ac:dyDescent="0.25">
      <c r="A101" s="58"/>
      <c r="B101" s="32"/>
      <c r="C101" s="24"/>
      <c r="D101" s="1"/>
      <c r="E101" s="1"/>
      <c r="F101" s="1"/>
      <c r="G101" s="1" t="str">
        <f t="shared" ref="G101:AL101" si="551">+(IF($A101="","",IF($D101&gt;MONTH(G$16)-MONTH(InicioFuncion)+12*(YEAR(G$16)-YEAR(InicioFuncion))+1,0,IF($E101&lt;=(MONTH(G$16)-MONTH(InicioFuncion)+12*(YEAR(G$16)-YEAR(InicioFuncion)))-$D101+1,0,IF(G$15&gt;$B$9,0,IF((YEAR($B$8)-YEAR($B$7))*12+(MONTH($B$8)-MONTH($B$7))+$E$14&lt;=F$14,$C101))))*HLOOKUP(YEAR(G$16),$E$3:$O$5,3,0)))</f>
        <v/>
      </c>
      <c r="H101" s="1" t="str">
        <f t="shared" si="551"/>
        <v/>
      </c>
      <c r="I101" s="1" t="str">
        <f t="shared" si="551"/>
        <v/>
      </c>
      <c r="J101" s="1" t="str">
        <f t="shared" si="551"/>
        <v/>
      </c>
      <c r="K101" s="1" t="str">
        <f t="shared" si="551"/>
        <v/>
      </c>
      <c r="L101" s="1" t="str">
        <f t="shared" si="551"/>
        <v/>
      </c>
      <c r="M101" s="1" t="str">
        <f t="shared" si="551"/>
        <v/>
      </c>
      <c r="N101" s="1" t="str">
        <f t="shared" si="551"/>
        <v/>
      </c>
      <c r="O101" s="1" t="str">
        <f t="shared" si="551"/>
        <v/>
      </c>
      <c r="P101" s="1" t="str">
        <f t="shared" si="551"/>
        <v/>
      </c>
      <c r="Q101" s="1" t="str">
        <f t="shared" si="551"/>
        <v/>
      </c>
      <c r="R101" s="1" t="str">
        <f t="shared" si="551"/>
        <v/>
      </c>
      <c r="S101" s="1" t="str">
        <f t="shared" si="551"/>
        <v/>
      </c>
      <c r="T101" s="1" t="str">
        <f t="shared" si="551"/>
        <v/>
      </c>
      <c r="U101" s="1" t="str">
        <f t="shared" si="551"/>
        <v/>
      </c>
      <c r="V101" s="1" t="str">
        <f t="shared" si="551"/>
        <v/>
      </c>
      <c r="W101" s="1" t="str">
        <f t="shared" si="551"/>
        <v/>
      </c>
      <c r="X101" s="1" t="str">
        <f t="shared" si="551"/>
        <v/>
      </c>
      <c r="Y101" s="1" t="str">
        <f t="shared" si="551"/>
        <v/>
      </c>
      <c r="Z101" s="1" t="str">
        <f t="shared" si="551"/>
        <v/>
      </c>
      <c r="AA101" s="1" t="str">
        <f t="shared" si="551"/>
        <v/>
      </c>
      <c r="AB101" s="1" t="str">
        <f t="shared" si="551"/>
        <v/>
      </c>
      <c r="AC101" s="1" t="str">
        <f t="shared" si="551"/>
        <v/>
      </c>
      <c r="AD101" s="1" t="str">
        <f t="shared" si="551"/>
        <v/>
      </c>
      <c r="AE101" s="1" t="str">
        <f t="shared" si="551"/>
        <v/>
      </c>
      <c r="AF101" s="1" t="str">
        <f t="shared" si="551"/>
        <v/>
      </c>
      <c r="AG101" s="1" t="str">
        <f t="shared" si="551"/>
        <v/>
      </c>
      <c r="AH101" s="1" t="str">
        <f t="shared" si="551"/>
        <v/>
      </c>
      <c r="AI101" s="1" t="str">
        <f t="shared" si="551"/>
        <v/>
      </c>
      <c r="AJ101" s="1" t="str">
        <f t="shared" si="551"/>
        <v/>
      </c>
      <c r="AK101" s="1" t="str">
        <f t="shared" si="551"/>
        <v/>
      </c>
      <c r="AL101" s="1" t="str">
        <f t="shared" si="551"/>
        <v/>
      </c>
      <c r="AM101" s="1" t="str">
        <f t="shared" ref="AM101:BR101" si="552">+(IF($A101="","",IF($D101&gt;MONTH(AM$16)-MONTH(InicioFuncion)+12*(YEAR(AM$16)-YEAR(InicioFuncion))+1,0,IF($E101&lt;=(MONTH(AM$16)-MONTH(InicioFuncion)+12*(YEAR(AM$16)-YEAR(InicioFuncion)))-$D101+1,0,IF(AM$15&gt;$B$9,0,IF((YEAR($B$8)-YEAR($B$7))*12+(MONTH($B$8)-MONTH($B$7))+$E$14&lt;=AL$14,$C101))))*HLOOKUP(YEAR(AM$16),$E$3:$O$5,3,0)))</f>
        <v/>
      </c>
      <c r="AN101" s="1" t="str">
        <f t="shared" si="552"/>
        <v/>
      </c>
      <c r="AO101" s="1" t="str">
        <f t="shared" si="552"/>
        <v/>
      </c>
      <c r="AP101" s="1" t="str">
        <f t="shared" si="552"/>
        <v/>
      </c>
      <c r="AQ101" s="1" t="str">
        <f t="shared" si="552"/>
        <v/>
      </c>
      <c r="AR101" s="1" t="str">
        <f t="shared" si="552"/>
        <v/>
      </c>
      <c r="AS101" s="1" t="str">
        <f t="shared" si="552"/>
        <v/>
      </c>
      <c r="AT101" s="1" t="str">
        <f t="shared" si="552"/>
        <v/>
      </c>
      <c r="AU101" s="1" t="str">
        <f t="shared" si="552"/>
        <v/>
      </c>
      <c r="AV101" s="1" t="str">
        <f t="shared" si="552"/>
        <v/>
      </c>
      <c r="AW101" s="1" t="str">
        <f t="shared" si="552"/>
        <v/>
      </c>
      <c r="AX101" s="1" t="str">
        <f t="shared" si="552"/>
        <v/>
      </c>
      <c r="AY101" s="1" t="str">
        <f t="shared" si="552"/>
        <v/>
      </c>
      <c r="AZ101" s="1" t="str">
        <f t="shared" si="552"/>
        <v/>
      </c>
      <c r="BA101" s="1" t="str">
        <f t="shared" si="552"/>
        <v/>
      </c>
      <c r="BB101" s="1" t="str">
        <f t="shared" si="552"/>
        <v/>
      </c>
      <c r="BC101" s="1" t="str">
        <f t="shared" si="552"/>
        <v/>
      </c>
      <c r="BD101" s="1" t="str">
        <f t="shared" si="552"/>
        <v/>
      </c>
      <c r="BE101" s="1" t="str">
        <f t="shared" si="552"/>
        <v/>
      </c>
      <c r="BF101" s="1" t="str">
        <f t="shared" si="552"/>
        <v/>
      </c>
      <c r="BG101" s="1" t="str">
        <f t="shared" si="552"/>
        <v/>
      </c>
      <c r="BH101" s="1" t="str">
        <f t="shared" si="552"/>
        <v/>
      </c>
      <c r="BI101" s="1" t="str">
        <f t="shared" si="552"/>
        <v/>
      </c>
      <c r="BJ101" s="1" t="str">
        <f t="shared" si="552"/>
        <v/>
      </c>
      <c r="BK101" s="1" t="str">
        <f t="shared" si="552"/>
        <v/>
      </c>
      <c r="BL101" s="1" t="str">
        <f t="shared" si="552"/>
        <v/>
      </c>
      <c r="BM101" s="1" t="str">
        <f t="shared" si="552"/>
        <v/>
      </c>
      <c r="BN101" s="1" t="str">
        <f t="shared" si="552"/>
        <v/>
      </c>
      <c r="BO101" s="1" t="str">
        <f t="shared" si="552"/>
        <v/>
      </c>
      <c r="BP101" s="1" t="str">
        <f t="shared" si="552"/>
        <v/>
      </c>
      <c r="BQ101" s="1" t="str">
        <f t="shared" si="552"/>
        <v/>
      </c>
      <c r="BR101" s="1" t="str">
        <f t="shared" si="552"/>
        <v/>
      </c>
      <c r="BS101" s="1" t="str">
        <f t="shared" ref="BS101:CX101" si="553">+(IF($A101="","",IF($D101&gt;MONTH(BS$16)-MONTH(InicioFuncion)+12*(YEAR(BS$16)-YEAR(InicioFuncion))+1,0,IF($E101&lt;=(MONTH(BS$16)-MONTH(InicioFuncion)+12*(YEAR(BS$16)-YEAR(InicioFuncion)))-$D101+1,0,IF(BS$15&gt;$B$9,0,IF((YEAR($B$8)-YEAR($B$7))*12+(MONTH($B$8)-MONTH($B$7))+$E$14&lt;=BR$14,$C101))))*HLOOKUP(YEAR(BS$16),$E$3:$O$5,3,0)))</f>
        <v/>
      </c>
      <c r="BT101" s="1" t="str">
        <f t="shared" si="553"/>
        <v/>
      </c>
      <c r="BU101" s="1" t="str">
        <f t="shared" si="553"/>
        <v/>
      </c>
      <c r="BV101" s="1" t="str">
        <f t="shared" si="553"/>
        <v/>
      </c>
      <c r="BW101" s="1" t="str">
        <f t="shared" si="553"/>
        <v/>
      </c>
      <c r="BX101" s="1" t="str">
        <f t="shared" si="553"/>
        <v/>
      </c>
      <c r="BY101" s="1" t="str">
        <f t="shared" si="553"/>
        <v/>
      </c>
      <c r="BZ101" s="1" t="str">
        <f t="shared" si="553"/>
        <v/>
      </c>
      <c r="CA101" s="1" t="str">
        <f t="shared" si="553"/>
        <v/>
      </c>
      <c r="CB101" s="1" t="str">
        <f t="shared" si="553"/>
        <v/>
      </c>
      <c r="CC101" s="1" t="str">
        <f t="shared" si="553"/>
        <v/>
      </c>
      <c r="CD101" s="1" t="str">
        <f t="shared" si="553"/>
        <v/>
      </c>
      <c r="CE101" s="1" t="str">
        <f t="shared" si="553"/>
        <v/>
      </c>
      <c r="CF101" s="1" t="str">
        <f t="shared" si="553"/>
        <v/>
      </c>
      <c r="CG101" s="1" t="str">
        <f t="shared" si="553"/>
        <v/>
      </c>
      <c r="CH101" s="1" t="str">
        <f t="shared" si="553"/>
        <v/>
      </c>
      <c r="CI101" s="1" t="str">
        <f t="shared" si="553"/>
        <v/>
      </c>
      <c r="CJ101" s="1" t="str">
        <f t="shared" si="553"/>
        <v/>
      </c>
      <c r="CK101" s="1" t="str">
        <f t="shared" si="553"/>
        <v/>
      </c>
      <c r="CL101" s="1" t="str">
        <f t="shared" si="553"/>
        <v/>
      </c>
      <c r="CM101" s="1" t="str">
        <f t="shared" si="553"/>
        <v/>
      </c>
      <c r="CN101" s="1" t="str">
        <f t="shared" si="553"/>
        <v/>
      </c>
      <c r="CO101" s="1" t="str">
        <f t="shared" si="553"/>
        <v/>
      </c>
      <c r="CP101" s="1" t="str">
        <f t="shared" si="553"/>
        <v/>
      </c>
      <c r="CQ101" s="1" t="str">
        <f t="shared" si="553"/>
        <v/>
      </c>
      <c r="CR101" s="1" t="str">
        <f t="shared" si="553"/>
        <v/>
      </c>
      <c r="CS101" s="1" t="str">
        <f t="shared" si="553"/>
        <v/>
      </c>
      <c r="CT101" s="1" t="str">
        <f t="shared" si="553"/>
        <v/>
      </c>
      <c r="CU101" s="1" t="str">
        <f t="shared" si="553"/>
        <v/>
      </c>
      <c r="CV101" s="1" t="str">
        <f t="shared" si="553"/>
        <v/>
      </c>
      <c r="CW101" s="1" t="str">
        <f t="shared" si="553"/>
        <v/>
      </c>
      <c r="CX101" s="1" t="str">
        <f t="shared" si="553"/>
        <v/>
      </c>
      <c r="CY101" s="1" t="str">
        <f t="shared" ref="CY101:DV101" si="554">+(IF($A101="","",IF($D101&gt;MONTH(CY$16)-MONTH(InicioFuncion)+12*(YEAR(CY$16)-YEAR(InicioFuncion))+1,0,IF($E101&lt;=(MONTH(CY$16)-MONTH(InicioFuncion)+12*(YEAR(CY$16)-YEAR(InicioFuncion)))-$D101+1,0,IF(CY$15&gt;$B$9,0,IF((YEAR($B$8)-YEAR($B$7))*12+(MONTH($B$8)-MONTH($B$7))+$E$14&lt;=CX$14,$C101))))*HLOOKUP(YEAR(CY$16),$E$3:$O$5,3,0)))</f>
        <v/>
      </c>
      <c r="CZ101" s="1" t="str">
        <f t="shared" si="554"/>
        <v/>
      </c>
      <c r="DA101" s="1" t="str">
        <f t="shared" si="554"/>
        <v/>
      </c>
      <c r="DB101" s="1" t="str">
        <f t="shared" si="554"/>
        <v/>
      </c>
      <c r="DC101" s="1" t="str">
        <f t="shared" si="554"/>
        <v/>
      </c>
      <c r="DD101" s="1" t="str">
        <f t="shared" si="554"/>
        <v/>
      </c>
      <c r="DE101" s="1" t="str">
        <f t="shared" si="554"/>
        <v/>
      </c>
      <c r="DF101" s="1" t="str">
        <f t="shared" si="554"/>
        <v/>
      </c>
      <c r="DG101" s="1" t="str">
        <f t="shared" si="554"/>
        <v/>
      </c>
      <c r="DH101" s="1" t="str">
        <f t="shared" si="554"/>
        <v/>
      </c>
      <c r="DI101" s="1" t="str">
        <f t="shared" si="554"/>
        <v/>
      </c>
      <c r="DJ101" s="1" t="str">
        <f t="shared" si="554"/>
        <v/>
      </c>
      <c r="DK101" s="1" t="str">
        <f t="shared" si="554"/>
        <v/>
      </c>
      <c r="DL101" s="1" t="str">
        <f t="shared" si="554"/>
        <v/>
      </c>
      <c r="DM101" s="1" t="str">
        <f t="shared" si="554"/>
        <v/>
      </c>
      <c r="DN101" s="1" t="str">
        <f t="shared" si="554"/>
        <v/>
      </c>
      <c r="DO101" s="1" t="str">
        <f t="shared" si="554"/>
        <v/>
      </c>
      <c r="DP101" s="1" t="str">
        <f t="shared" si="554"/>
        <v/>
      </c>
      <c r="DQ101" s="1" t="str">
        <f t="shared" si="554"/>
        <v/>
      </c>
      <c r="DR101" s="1" t="str">
        <f t="shared" si="554"/>
        <v/>
      </c>
      <c r="DS101" s="1" t="str">
        <f t="shared" si="554"/>
        <v/>
      </c>
      <c r="DT101" s="1" t="str">
        <f t="shared" si="554"/>
        <v/>
      </c>
      <c r="DU101" s="1" t="str">
        <f t="shared" si="554"/>
        <v/>
      </c>
      <c r="DV101" s="1" t="str">
        <f t="shared" si="554"/>
        <v/>
      </c>
    </row>
    <row r="102" spans="1:126" x14ac:dyDescent="0.25">
      <c r="A102" s="11"/>
      <c r="B102" s="11"/>
      <c r="C102" s="24"/>
      <c r="D102" s="1"/>
      <c r="E102" s="1"/>
      <c r="F102" s="1"/>
    </row>
    <row r="103" spans="1:126" x14ac:dyDescent="0.25">
      <c r="A103" s="11"/>
      <c r="B103" s="11"/>
      <c r="C103" s="11"/>
    </row>
    <row r="104" spans="1:126" x14ac:dyDescent="0.25">
      <c r="C104" s="2"/>
    </row>
  </sheetData>
  <mergeCells count="7">
    <mergeCell ref="A88:C88"/>
    <mergeCell ref="A77:C77"/>
    <mergeCell ref="A17:C17"/>
    <mergeCell ref="A18:C18"/>
    <mergeCell ref="A42:C42"/>
    <mergeCell ref="A58:C58"/>
    <mergeCell ref="A53:C53"/>
  </mergeCells>
  <dataValidations count="2">
    <dataValidation type="date" operator="greaterThan" allowBlank="1" showInputMessage="1" showErrorMessage="1" sqref="B8" xr:uid="{4D4EAD4E-F4E9-1C41-BE04-B40645A6B4D6}">
      <formula1>B7</formula1>
    </dataValidation>
    <dataValidation type="whole" operator="lessThanOrEqual" allowBlank="1" showInputMessage="1" showErrorMessage="1" sqref="B9" xr:uid="{2AFF7EDA-A6D7-2A4F-B48E-7F21BF49A640}">
      <formula1>120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F2E3-F25E-3249-AC9D-69897003FAF5}">
  <sheetPr codeName="Sheet3"/>
  <dimension ref="A1:V979"/>
  <sheetViews>
    <sheetView zoomScale="125" workbookViewId="0">
      <pane ySplit="1" topLeftCell="A2" activePane="bottomLeft" state="frozen"/>
      <selection pane="bottomLeft" activeCell="C18" sqref="C18"/>
    </sheetView>
  </sheetViews>
  <sheetFormatPr baseColWidth="10" defaultRowHeight="15.75" x14ac:dyDescent="0.25"/>
  <cols>
    <col min="1" max="1" width="12.625" customWidth="1"/>
    <col min="2" max="2" width="15.875" customWidth="1"/>
    <col min="3" max="3" width="53.625" customWidth="1"/>
    <col min="4" max="4" width="50.5" customWidth="1"/>
    <col min="5" max="5" width="9.625" bestFit="1" customWidth="1"/>
    <col min="8" max="8" width="16.625" bestFit="1" customWidth="1"/>
    <col min="9" max="9" width="13.5" customWidth="1"/>
    <col min="10" max="10" width="20.125" bestFit="1" customWidth="1"/>
    <col min="11" max="15" width="20.125" customWidth="1"/>
    <col min="16" max="16" width="16.625" bestFit="1" customWidth="1"/>
    <col min="17" max="17" width="12.5" bestFit="1" customWidth="1"/>
    <col min="18" max="18" width="14.5" bestFit="1" customWidth="1"/>
    <col min="19" max="19" width="27.875" bestFit="1" customWidth="1"/>
    <col min="20" max="20" width="14.5" bestFit="1" customWidth="1"/>
    <col min="21" max="22" width="15.625" bestFit="1" customWidth="1"/>
  </cols>
  <sheetData>
    <row r="1" spans="1:18" x14ac:dyDescent="0.25">
      <c r="A1" s="19" t="s">
        <v>80</v>
      </c>
      <c r="B1" s="19" t="s">
        <v>290</v>
      </c>
      <c r="C1" s="19" t="s">
        <v>291</v>
      </c>
      <c r="D1" s="19" t="s">
        <v>17</v>
      </c>
      <c r="E1" s="19" t="s">
        <v>293</v>
      </c>
      <c r="F1" s="19" t="s">
        <v>9</v>
      </c>
      <c r="G1" s="20" t="s">
        <v>292</v>
      </c>
      <c r="H1" s="20" t="s">
        <v>8</v>
      </c>
      <c r="I1" s="20" t="s">
        <v>128</v>
      </c>
      <c r="J1" s="20" t="s">
        <v>70</v>
      </c>
      <c r="K1" s="20" t="s">
        <v>125</v>
      </c>
      <c r="L1" s="20" t="s">
        <v>127</v>
      </c>
      <c r="M1" s="20" t="s">
        <v>136</v>
      </c>
      <c r="N1" s="20" t="s">
        <v>223</v>
      </c>
      <c r="O1" s="20" t="s">
        <v>109</v>
      </c>
      <c r="P1" s="20" t="s">
        <v>67</v>
      </c>
      <c r="Q1" s="19" t="s">
        <v>49</v>
      </c>
      <c r="R1" s="20"/>
    </row>
    <row r="2" spans="1:18" x14ac:dyDescent="0.25">
      <c r="A2" s="26" t="s">
        <v>81</v>
      </c>
      <c r="B2" s="60" t="s">
        <v>0</v>
      </c>
      <c r="C2" s="60" t="s">
        <v>19</v>
      </c>
      <c r="D2" s="60" t="s">
        <v>165</v>
      </c>
      <c r="E2" s="60">
        <v>1</v>
      </c>
      <c r="F2" s="60" t="s">
        <v>1</v>
      </c>
      <c r="G2" s="72" t="s">
        <v>12</v>
      </c>
      <c r="H2" s="73">
        <v>17740633.5</v>
      </c>
      <c r="I2" s="74">
        <v>1</v>
      </c>
      <c r="J2" s="29" t="str">
        <f t="shared" ref="J2:J34" si="0">+IF(ISNUMBER(FIND("12 - 18",D2)),"12-18",IF(ISNUMBER(FIND("19 - 35",D2)),"19-35",IF(ISNUMBER(FIND("36 - 45",D2)),"36-45",IF(ISNUMBER(FIND("46 - 60",D2)),"46-60",IF(ISNUMBER(FIND("90",D2)),"90","")))))</f>
        <v>12-18</v>
      </c>
      <c r="K2" s="29"/>
      <c r="L2" s="29"/>
      <c r="M2" s="29"/>
      <c r="N2" s="29"/>
      <c r="O2" s="29" t="s">
        <v>51</v>
      </c>
      <c r="P2" s="73">
        <f t="shared" ref="P2:P34" si="1">+I2*H2</f>
        <v>17740633.5</v>
      </c>
      <c r="Q2" s="75" t="s">
        <v>52</v>
      </c>
    </row>
    <row r="3" spans="1:18" x14ac:dyDescent="0.25">
      <c r="A3" s="26" t="s">
        <v>81</v>
      </c>
      <c r="B3" s="60" t="s">
        <v>0</v>
      </c>
      <c r="C3" s="60" t="s">
        <v>19</v>
      </c>
      <c r="D3" s="60" t="s">
        <v>166</v>
      </c>
      <c r="E3" s="60">
        <v>1</v>
      </c>
      <c r="F3" s="60" t="s">
        <v>1</v>
      </c>
      <c r="G3" s="72" t="s">
        <v>12</v>
      </c>
      <c r="H3" s="73">
        <v>17740633.5</v>
      </c>
      <c r="I3" s="74">
        <v>1</v>
      </c>
      <c r="J3" s="29" t="str">
        <f t="shared" si="0"/>
        <v>19-35</v>
      </c>
      <c r="K3" s="29"/>
      <c r="L3" s="29"/>
      <c r="M3" s="29"/>
      <c r="N3" s="29"/>
      <c r="O3" s="29" t="s">
        <v>51</v>
      </c>
      <c r="P3" s="73">
        <f t="shared" si="1"/>
        <v>17740633.5</v>
      </c>
      <c r="Q3" s="75" t="s">
        <v>52</v>
      </c>
    </row>
    <row r="4" spans="1:18" x14ac:dyDescent="0.25">
      <c r="A4" s="26" t="s">
        <v>81</v>
      </c>
      <c r="B4" s="60" t="s">
        <v>0</v>
      </c>
      <c r="C4" s="60" t="s">
        <v>19</v>
      </c>
      <c r="D4" s="60" t="s">
        <v>167</v>
      </c>
      <c r="E4" s="60">
        <v>1</v>
      </c>
      <c r="F4" s="60" t="s">
        <v>1</v>
      </c>
      <c r="G4" s="72" t="s">
        <v>12</v>
      </c>
      <c r="H4" s="73">
        <v>17740633.5</v>
      </c>
      <c r="I4" s="74">
        <v>1</v>
      </c>
      <c r="J4" s="29" t="str">
        <f t="shared" si="0"/>
        <v>36-45</v>
      </c>
      <c r="K4" s="29"/>
      <c r="L4" s="29"/>
      <c r="M4" s="29"/>
      <c r="N4" s="29"/>
      <c r="O4" s="29" t="s">
        <v>51</v>
      </c>
      <c r="P4" s="73">
        <f t="shared" si="1"/>
        <v>17740633.5</v>
      </c>
      <c r="Q4" s="75" t="s">
        <v>52</v>
      </c>
    </row>
    <row r="5" spans="1:18" x14ac:dyDescent="0.25">
      <c r="A5" s="26" t="s">
        <v>81</v>
      </c>
      <c r="B5" s="60" t="s">
        <v>0</v>
      </c>
      <c r="C5" s="60" t="s">
        <v>19</v>
      </c>
      <c r="D5" s="60" t="s">
        <v>168</v>
      </c>
      <c r="E5" s="60">
        <v>1</v>
      </c>
      <c r="F5" s="60" t="s">
        <v>1</v>
      </c>
      <c r="G5" s="72" t="s">
        <v>12</v>
      </c>
      <c r="H5" s="73">
        <v>17740633.5</v>
      </c>
      <c r="I5" s="74">
        <v>1</v>
      </c>
      <c r="J5" s="29" t="str">
        <f t="shared" si="0"/>
        <v>46-60</v>
      </c>
      <c r="K5" s="29"/>
      <c r="L5" s="29"/>
      <c r="M5" s="29"/>
      <c r="N5" s="29"/>
      <c r="O5" s="29" t="s">
        <v>51</v>
      </c>
      <c r="P5" s="73">
        <f t="shared" si="1"/>
        <v>17740633.5</v>
      </c>
      <c r="Q5" s="75" t="s">
        <v>52</v>
      </c>
    </row>
    <row r="6" spans="1:18" x14ac:dyDescent="0.25">
      <c r="A6" s="26" t="s">
        <v>81</v>
      </c>
      <c r="B6" s="60" t="s">
        <v>0</v>
      </c>
      <c r="C6" s="60" t="s">
        <v>19</v>
      </c>
      <c r="D6" s="60" t="s">
        <v>169</v>
      </c>
      <c r="E6" s="60">
        <v>1</v>
      </c>
      <c r="F6" s="60" t="s">
        <v>1</v>
      </c>
      <c r="G6" s="72" t="s">
        <v>12</v>
      </c>
      <c r="H6" s="73">
        <v>17740633.5</v>
      </c>
      <c r="I6" s="74">
        <v>1</v>
      </c>
      <c r="J6" s="29" t="str">
        <f t="shared" si="0"/>
        <v>90</v>
      </c>
      <c r="K6" s="29"/>
      <c r="L6" s="29"/>
      <c r="M6" s="29"/>
      <c r="N6" s="29"/>
      <c r="O6" s="29" t="s">
        <v>51</v>
      </c>
      <c r="P6" s="73">
        <f t="shared" si="1"/>
        <v>17740633.5</v>
      </c>
      <c r="Q6" s="75" t="s">
        <v>52</v>
      </c>
    </row>
    <row r="7" spans="1:18" x14ac:dyDescent="0.25">
      <c r="A7" s="26" t="s">
        <v>81</v>
      </c>
      <c r="B7" s="60" t="s">
        <v>0</v>
      </c>
      <c r="C7" s="60" t="s">
        <v>19</v>
      </c>
      <c r="D7" s="60" t="s">
        <v>165</v>
      </c>
      <c r="E7" s="60">
        <v>2</v>
      </c>
      <c r="F7" s="60" t="s">
        <v>1</v>
      </c>
      <c r="G7" s="72" t="s">
        <v>12</v>
      </c>
      <c r="H7" s="73">
        <v>17740633.5</v>
      </c>
      <c r="I7" s="74">
        <v>1</v>
      </c>
      <c r="J7" s="29" t="str">
        <f t="shared" si="0"/>
        <v>12-18</v>
      </c>
      <c r="K7" s="29"/>
      <c r="L7" s="29"/>
      <c r="M7" s="29"/>
      <c r="N7" s="29"/>
      <c r="O7" s="29" t="s">
        <v>51</v>
      </c>
      <c r="P7" s="73">
        <f t="shared" si="1"/>
        <v>17740633.5</v>
      </c>
      <c r="Q7" s="75" t="s">
        <v>52</v>
      </c>
    </row>
    <row r="8" spans="1:18" x14ac:dyDescent="0.25">
      <c r="A8" s="26" t="s">
        <v>81</v>
      </c>
      <c r="B8" s="60" t="s">
        <v>0</v>
      </c>
      <c r="C8" s="60" t="s">
        <v>19</v>
      </c>
      <c r="D8" s="60" t="s">
        <v>166</v>
      </c>
      <c r="E8" s="60">
        <v>2</v>
      </c>
      <c r="F8" s="60" t="s">
        <v>1</v>
      </c>
      <c r="G8" s="72" t="s">
        <v>12</v>
      </c>
      <c r="H8" s="73">
        <v>17740633.5</v>
      </c>
      <c r="I8" s="74">
        <v>1</v>
      </c>
      <c r="J8" s="29" t="str">
        <f t="shared" si="0"/>
        <v>19-35</v>
      </c>
      <c r="K8" s="29"/>
      <c r="L8" s="29"/>
      <c r="M8" s="29"/>
      <c r="N8" s="29"/>
      <c r="O8" s="29" t="s">
        <v>51</v>
      </c>
      <c r="P8" s="73">
        <f t="shared" si="1"/>
        <v>17740633.5</v>
      </c>
      <c r="Q8" s="75" t="s">
        <v>52</v>
      </c>
    </row>
    <row r="9" spans="1:18" x14ac:dyDescent="0.25">
      <c r="A9" s="26" t="s">
        <v>81</v>
      </c>
      <c r="B9" s="60" t="s">
        <v>0</v>
      </c>
      <c r="C9" s="60" t="s">
        <v>19</v>
      </c>
      <c r="D9" s="60" t="s">
        <v>167</v>
      </c>
      <c r="E9" s="60">
        <v>2</v>
      </c>
      <c r="F9" s="60" t="s">
        <v>1</v>
      </c>
      <c r="G9" s="72" t="s">
        <v>12</v>
      </c>
      <c r="H9" s="73">
        <v>17740633.5</v>
      </c>
      <c r="I9" s="74">
        <v>1</v>
      </c>
      <c r="J9" s="29" t="str">
        <f t="shared" si="0"/>
        <v>36-45</v>
      </c>
      <c r="K9" s="29"/>
      <c r="L9" s="29"/>
      <c r="M9" s="29"/>
      <c r="N9" s="29"/>
      <c r="O9" s="29" t="s">
        <v>51</v>
      </c>
      <c r="P9" s="73">
        <f t="shared" si="1"/>
        <v>17740633.5</v>
      </c>
      <c r="Q9" s="75" t="s">
        <v>52</v>
      </c>
    </row>
    <row r="10" spans="1:18" x14ac:dyDescent="0.25">
      <c r="A10" s="26" t="s">
        <v>81</v>
      </c>
      <c r="B10" s="60" t="s">
        <v>0</v>
      </c>
      <c r="C10" s="60" t="s">
        <v>19</v>
      </c>
      <c r="D10" s="60" t="s">
        <v>168</v>
      </c>
      <c r="E10" s="60">
        <v>2</v>
      </c>
      <c r="F10" s="60" t="s">
        <v>1</v>
      </c>
      <c r="G10" s="72" t="s">
        <v>12</v>
      </c>
      <c r="H10" s="73">
        <v>17740633.5</v>
      </c>
      <c r="I10" s="74">
        <v>1</v>
      </c>
      <c r="J10" s="29" t="str">
        <f t="shared" si="0"/>
        <v>46-60</v>
      </c>
      <c r="K10" s="29"/>
      <c r="L10" s="29"/>
      <c r="M10" s="29"/>
      <c r="N10" s="29"/>
      <c r="O10" s="29" t="s">
        <v>51</v>
      </c>
      <c r="P10" s="73">
        <f t="shared" si="1"/>
        <v>17740633.5</v>
      </c>
      <c r="Q10" s="75" t="s">
        <v>52</v>
      </c>
    </row>
    <row r="11" spans="1:18" x14ac:dyDescent="0.25">
      <c r="A11" s="26" t="s">
        <v>81</v>
      </c>
      <c r="B11" s="60" t="s">
        <v>0</v>
      </c>
      <c r="C11" s="60" t="s">
        <v>19</v>
      </c>
      <c r="D11" s="60" t="s">
        <v>169</v>
      </c>
      <c r="E11" s="60">
        <v>2</v>
      </c>
      <c r="F11" s="60" t="s">
        <v>1</v>
      </c>
      <c r="G11" s="72" t="s">
        <v>12</v>
      </c>
      <c r="H11" s="73">
        <v>17740633.5</v>
      </c>
      <c r="I11" s="74">
        <v>1</v>
      </c>
      <c r="J11" s="29" t="str">
        <f t="shared" si="0"/>
        <v>90</v>
      </c>
      <c r="K11" s="29"/>
      <c r="L11" s="29"/>
      <c r="M11" s="29"/>
      <c r="N11" s="29"/>
      <c r="O11" s="29" t="s">
        <v>51</v>
      </c>
      <c r="P11" s="73">
        <f t="shared" si="1"/>
        <v>17740633.5</v>
      </c>
      <c r="Q11" s="75" t="s">
        <v>52</v>
      </c>
    </row>
    <row r="12" spans="1:18" x14ac:dyDescent="0.25">
      <c r="A12" s="26" t="s">
        <v>81</v>
      </c>
      <c r="B12" s="60" t="s">
        <v>0</v>
      </c>
      <c r="C12" s="60" t="s">
        <v>19</v>
      </c>
      <c r="D12" s="60" t="s">
        <v>165</v>
      </c>
      <c r="E12" s="60">
        <v>3</v>
      </c>
      <c r="F12" s="60" t="s">
        <v>1</v>
      </c>
      <c r="G12" s="72" t="s">
        <v>12</v>
      </c>
      <c r="H12" s="73">
        <v>17740633.5</v>
      </c>
      <c r="I12" s="74">
        <v>1</v>
      </c>
      <c r="J12" s="29" t="str">
        <f t="shared" si="0"/>
        <v>12-18</v>
      </c>
      <c r="K12" s="29"/>
      <c r="L12" s="29"/>
      <c r="M12" s="29"/>
      <c r="N12" s="29"/>
      <c r="O12" s="29" t="s">
        <v>51</v>
      </c>
      <c r="P12" s="73">
        <f t="shared" si="1"/>
        <v>17740633.5</v>
      </c>
      <c r="Q12" s="75" t="s">
        <v>52</v>
      </c>
    </row>
    <row r="13" spans="1:18" x14ac:dyDescent="0.25">
      <c r="A13" s="26" t="s">
        <v>81</v>
      </c>
      <c r="B13" s="60" t="s">
        <v>0</v>
      </c>
      <c r="C13" s="60" t="s">
        <v>19</v>
      </c>
      <c r="D13" s="60" t="s">
        <v>166</v>
      </c>
      <c r="E13" s="60">
        <v>3</v>
      </c>
      <c r="F13" s="60" t="s">
        <v>1</v>
      </c>
      <c r="G13" s="72" t="s">
        <v>12</v>
      </c>
      <c r="H13" s="73">
        <v>17740633.5</v>
      </c>
      <c r="I13" s="74">
        <v>1</v>
      </c>
      <c r="J13" s="29" t="str">
        <f t="shared" si="0"/>
        <v>19-35</v>
      </c>
      <c r="K13" s="29"/>
      <c r="L13" s="29"/>
      <c r="M13" s="29"/>
      <c r="N13" s="29"/>
      <c r="O13" s="29" t="s">
        <v>51</v>
      </c>
      <c r="P13" s="73">
        <f t="shared" si="1"/>
        <v>17740633.5</v>
      </c>
      <c r="Q13" s="75" t="s">
        <v>52</v>
      </c>
    </row>
    <row r="14" spans="1:18" x14ac:dyDescent="0.25">
      <c r="A14" s="26" t="s">
        <v>81</v>
      </c>
      <c r="B14" s="60" t="s">
        <v>0</v>
      </c>
      <c r="C14" s="60" t="s">
        <v>19</v>
      </c>
      <c r="D14" s="60" t="s">
        <v>167</v>
      </c>
      <c r="E14" s="60">
        <v>3</v>
      </c>
      <c r="F14" s="60" t="s">
        <v>1</v>
      </c>
      <c r="G14" s="72" t="s">
        <v>12</v>
      </c>
      <c r="H14" s="73">
        <v>17740633.5</v>
      </c>
      <c r="I14" s="74">
        <v>1</v>
      </c>
      <c r="J14" s="29" t="str">
        <f t="shared" si="0"/>
        <v>36-45</v>
      </c>
      <c r="K14" s="29"/>
      <c r="L14" s="29"/>
      <c r="M14" s="29"/>
      <c r="N14" s="29"/>
      <c r="O14" s="29" t="s">
        <v>51</v>
      </c>
      <c r="P14" s="73">
        <f t="shared" si="1"/>
        <v>17740633.5</v>
      </c>
      <c r="Q14" s="75" t="s">
        <v>52</v>
      </c>
    </row>
    <row r="15" spans="1:18" x14ac:dyDescent="0.25">
      <c r="A15" s="26" t="s">
        <v>81</v>
      </c>
      <c r="B15" s="60" t="s">
        <v>0</v>
      </c>
      <c r="C15" s="60" t="s">
        <v>19</v>
      </c>
      <c r="D15" s="60" t="s">
        <v>168</v>
      </c>
      <c r="E15" s="60">
        <v>3</v>
      </c>
      <c r="F15" s="60" t="s">
        <v>1</v>
      </c>
      <c r="G15" s="72" t="s">
        <v>12</v>
      </c>
      <c r="H15" s="73">
        <v>17740633.5</v>
      </c>
      <c r="I15" s="74">
        <v>1</v>
      </c>
      <c r="J15" s="29" t="str">
        <f t="shared" si="0"/>
        <v>46-60</v>
      </c>
      <c r="K15" s="29"/>
      <c r="L15" s="29"/>
      <c r="M15" s="29"/>
      <c r="N15" s="29"/>
      <c r="O15" s="29" t="s">
        <v>51</v>
      </c>
      <c r="P15" s="73">
        <f t="shared" si="1"/>
        <v>17740633.5</v>
      </c>
      <c r="Q15" s="75" t="s">
        <v>52</v>
      </c>
    </row>
    <row r="16" spans="1:18" x14ac:dyDescent="0.25">
      <c r="A16" s="26" t="s">
        <v>81</v>
      </c>
      <c r="B16" s="60" t="s">
        <v>0</v>
      </c>
      <c r="C16" s="60" t="s">
        <v>19</v>
      </c>
      <c r="D16" s="60" t="s">
        <v>169</v>
      </c>
      <c r="E16" s="60">
        <v>3</v>
      </c>
      <c r="F16" s="60" t="s">
        <v>1</v>
      </c>
      <c r="G16" s="72" t="s">
        <v>12</v>
      </c>
      <c r="H16" s="73">
        <v>17740633.5</v>
      </c>
      <c r="I16" s="74">
        <v>1</v>
      </c>
      <c r="J16" s="29" t="str">
        <f t="shared" si="0"/>
        <v>90</v>
      </c>
      <c r="K16" s="29"/>
      <c r="L16" s="29"/>
      <c r="M16" s="29"/>
      <c r="N16" s="29"/>
      <c r="O16" s="29" t="s">
        <v>51</v>
      </c>
      <c r="P16" s="73">
        <f t="shared" si="1"/>
        <v>17740633.5</v>
      </c>
      <c r="Q16" s="75" t="s">
        <v>52</v>
      </c>
    </row>
    <row r="17" spans="1:19" x14ac:dyDescent="0.25">
      <c r="A17" s="26" t="s">
        <v>81</v>
      </c>
      <c r="B17" s="60" t="s">
        <v>0</v>
      </c>
      <c r="C17" s="60" t="s">
        <v>2</v>
      </c>
      <c r="D17" s="60" t="s">
        <v>165</v>
      </c>
      <c r="E17" s="60">
        <v>1</v>
      </c>
      <c r="F17" s="60" t="s">
        <v>1</v>
      </c>
      <c r="G17" s="72" t="s">
        <v>12</v>
      </c>
      <c r="H17" s="73">
        <v>36660939</v>
      </c>
      <c r="I17" s="74">
        <v>1</v>
      </c>
      <c r="J17" s="29" t="str">
        <f t="shared" si="0"/>
        <v>12-18</v>
      </c>
      <c r="K17" s="29"/>
      <c r="L17" s="29"/>
      <c r="M17" s="29" t="s">
        <v>134</v>
      </c>
      <c r="N17" s="29"/>
      <c r="O17" s="29" t="s">
        <v>51</v>
      </c>
      <c r="P17" s="73">
        <f t="shared" si="1"/>
        <v>36660939</v>
      </c>
      <c r="Q17" s="75" t="s">
        <v>52</v>
      </c>
    </row>
    <row r="18" spans="1:19" x14ac:dyDescent="0.25">
      <c r="A18" s="26" t="s">
        <v>81</v>
      </c>
      <c r="B18" s="60" t="s">
        <v>0</v>
      </c>
      <c r="C18" s="60" t="s">
        <v>2</v>
      </c>
      <c r="D18" s="60" t="s">
        <v>165</v>
      </c>
      <c r="E18" s="60">
        <v>2</v>
      </c>
      <c r="F18" s="60" t="s">
        <v>1</v>
      </c>
      <c r="G18" s="72" t="s">
        <v>12</v>
      </c>
      <c r="H18" s="73">
        <v>36660939</v>
      </c>
      <c r="I18" s="74">
        <v>1</v>
      </c>
      <c r="J18" s="29" t="str">
        <f t="shared" si="0"/>
        <v>12-18</v>
      </c>
      <c r="K18" s="29"/>
      <c r="L18" s="29"/>
      <c r="M18" s="29" t="s">
        <v>134</v>
      </c>
      <c r="N18" s="29"/>
      <c r="O18" s="29" t="s">
        <v>51</v>
      </c>
      <c r="P18" s="73">
        <f t="shared" si="1"/>
        <v>36660939</v>
      </c>
      <c r="Q18" s="75" t="s">
        <v>52</v>
      </c>
    </row>
    <row r="19" spans="1:19" x14ac:dyDescent="0.25">
      <c r="A19" s="26" t="s">
        <v>81</v>
      </c>
      <c r="B19" s="60" t="s">
        <v>0</v>
      </c>
      <c r="C19" s="60" t="s">
        <v>2</v>
      </c>
      <c r="D19" s="60" t="s">
        <v>165</v>
      </c>
      <c r="E19" s="60">
        <v>3</v>
      </c>
      <c r="F19" s="60" t="s">
        <v>1</v>
      </c>
      <c r="G19" s="72" t="s">
        <v>12</v>
      </c>
      <c r="H19" s="73">
        <v>36660939</v>
      </c>
      <c r="I19" s="74">
        <v>1</v>
      </c>
      <c r="J19" s="29" t="str">
        <f t="shared" si="0"/>
        <v>12-18</v>
      </c>
      <c r="K19" s="29"/>
      <c r="L19" s="29"/>
      <c r="M19" s="29" t="s">
        <v>134</v>
      </c>
      <c r="N19" s="29"/>
      <c r="O19" s="29" t="s">
        <v>51</v>
      </c>
      <c r="P19" s="73">
        <f t="shared" si="1"/>
        <v>36660939</v>
      </c>
      <c r="Q19" s="75" t="s">
        <v>52</v>
      </c>
    </row>
    <row r="20" spans="1:19" x14ac:dyDescent="0.25">
      <c r="A20" s="26" t="s">
        <v>81</v>
      </c>
      <c r="B20" s="60" t="s">
        <v>0</v>
      </c>
      <c r="C20" s="60" t="s">
        <v>3</v>
      </c>
      <c r="D20" s="60" t="s">
        <v>165</v>
      </c>
      <c r="E20" s="60">
        <v>1</v>
      </c>
      <c r="F20" s="60" t="s">
        <v>1</v>
      </c>
      <c r="G20" s="72" t="s">
        <v>12</v>
      </c>
      <c r="H20" s="73">
        <v>67861699.359999999</v>
      </c>
      <c r="I20" s="74">
        <v>1</v>
      </c>
      <c r="J20" s="29" t="str">
        <f t="shared" si="0"/>
        <v>12-18</v>
      </c>
      <c r="K20" s="29"/>
      <c r="L20" s="29"/>
      <c r="M20" s="29" t="s">
        <v>135</v>
      </c>
      <c r="N20" s="29"/>
      <c r="O20" s="29" t="s">
        <v>51</v>
      </c>
      <c r="P20" s="73">
        <f t="shared" si="1"/>
        <v>67861699.359999999</v>
      </c>
      <c r="Q20" s="75" t="s">
        <v>52</v>
      </c>
    </row>
    <row r="21" spans="1:19" x14ac:dyDescent="0.25">
      <c r="A21" s="26" t="s">
        <v>81</v>
      </c>
      <c r="B21" s="60" t="s">
        <v>0</v>
      </c>
      <c r="C21" s="60" t="s">
        <v>3</v>
      </c>
      <c r="D21" s="60" t="s">
        <v>166</v>
      </c>
      <c r="E21" s="60">
        <v>1</v>
      </c>
      <c r="F21" s="60" t="s">
        <v>1</v>
      </c>
      <c r="G21" s="72" t="s">
        <v>12</v>
      </c>
      <c r="H21" s="73">
        <v>82415267.5</v>
      </c>
      <c r="I21" s="74">
        <v>1</v>
      </c>
      <c r="J21" s="29" t="str">
        <f t="shared" si="0"/>
        <v>19-35</v>
      </c>
      <c r="K21" s="29"/>
      <c r="L21" s="29"/>
      <c r="M21" s="29" t="s">
        <v>135</v>
      </c>
      <c r="N21" s="29"/>
      <c r="O21" s="29" t="s">
        <v>51</v>
      </c>
      <c r="P21" s="73">
        <f t="shared" si="1"/>
        <v>82415267.5</v>
      </c>
      <c r="Q21" s="75" t="s">
        <v>52</v>
      </c>
      <c r="S21" s="73"/>
    </row>
    <row r="22" spans="1:19" x14ac:dyDescent="0.25">
      <c r="A22" s="26" t="s">
        <v>81</v>
      </c>
      <c r="B22" s="60" t="s">
        <v>0</v>
      </c>
      <c r="C22" s="60" t="s">
        <v>3</v>
      </c>
      <c r="D22" s="60" t="s">
        <v>167</v>
      </c>
      <c r="E22" s="60">
        <v>1</v>
      </c>
      <c r="F22" s="60" t="s">
        <v>1</v>
      </c>
      <c r="G22" s="72" t="s">
        <v>12</v>
      </c>
      <c r="H22" s="73">
        <v>84340950</v>
      </c>
      <c r="I22" s="74">
        <v>1</v>
      </c>
      <c r="J22" s="29" t="str">
        <f t="shared" si="0"/>
        <v>36-45</v>
      </c>
      <c r="K22" s="29"/>
      <c r="L22" s="29"/>
      <c r="M22" s="29" t="s">
        <v>135</v>
      </c>
      <c r="N22" s="29"/>
      <c r="O22" s="29" t="s">
        <v>51</v>
      </c>
      <c r="P22" s="73">
        <f t="shared" si="1"/>
        <v>84340950</v>
      </c>
      <c r="Q22" s="75" t="s">
        <v>52</v>
      </c>
    </row>
    <row r="23" spans="1:19" x14ac:dyDescent="0.25">
      <c r="A23" s="26" t="s">
        <v>81</v>
      </c>
      <c r="B23" s="60" t="s">
        <v>0</v>
      </c>
      <c r="C23" s="60" t="s">
        <v>3</v>
      </c>
      <c r="D23" s="60" t="s">
        <v>168</v>
      </c>
      <c r="E23" s="60">
        <v>1</v>
      </c>
      <c r="F23" s="60" t="s">
        <v>1</v>
      </c>
      <c r="G23" s="72" t="s">
        <v>12</v>
      </c>
      <c r="H23" s="73">
        <v>109632220.5</v>
      </c>
      <c r="I23" s="74">
        <v>1</v>
      </c>
      <c r="J23" s="29" t="str">
        <f t="shared" si="0"/>
        <v>46-60</v>
      </c>
      <c r="K23" s="29"/>
      <c r="L23" s="29"/>
      <c r="M23" s="29" t="s">
        <v>135</v>
      </c>
      <c r="N23" s="29"/>
      <c r="O23" s="29" t="s">
        <v>51</v>
      </c>
      <c r="P23" s="73">
        <f t="shared" si="1"/>
        <v>109632220.5</v>
      </c>
      <c r="Q23" s="75" t="s">
        <v>52</v>
      </c>
    </row>
    <row r="24" spans="1:19" x14ac:dyDescent="0.25">
      <c r="A24" s="26" t="s">
        <v>81</v>
      </c>
      <c r="B24" s="60" t="s">
        <v>0</v>
      </c>
      <c r="C24" s="60" t="s">
        <v>3</v>
      </c>
      <c r="D24" s="60" t="s">
        <v>169</v>
      </c>
      <c r="E24" s="60">
        <v>1</v>
      </c>
      <c r="F24" s="60" t="s">
        <v>1</v>
      </c>
      <c r="G24" s="72" t="s">
        <v>12</v>
      </c>
      <c r="H24" s="73">
        <v>167735585</v>
      </c>
      <c r="I24" s="74">
        <v>1</v>
      </c>
      <c r="J24" s="29" t="str">
        <f t="shared" si="0"/>
        <v>90</v>
      </c>
      <c r="K24" s="29"/>
      <c r="L24" s="29"/>
      <c r="M24" s="29" t="s">
        <v>135</v>
      </c>
      <c r="N24" s="29"/>
      <c r="O24" s="29" t="s">
        <v>51</v>
      </c>
      <c r="P24" s="73">
        <f t="shared" si="1"/>
        <v>167735585</v>
      </c>
      <c r="Q24" s="75" t="s">
        <v>52</v>
      </c>
    </row>
    <row r="25" spans="1:19" x14ac:dyDescent="0.25">
      <c r="A25" s="26" t="s">
        <v>81</v>
      </c>
      <c r="B25" s="60" t="s">
        <v>0</v>
      </c>
      <c r="C25" s="60" t="s">
        <v>3</v>
      </c>
      <c r="D25" s="60" t="s">
        <v>165</v>
      </c>
      <c r="E25" s="60">
        <v>2</v>
      </c>
      <c r="F25" s="60" t="s">
        <v>1</v>
      </c>
      <c r="G25" s="72" t="s">
        <v>12</v>
      </c>
      <c r="H25" s="73">
        <v>67861699.359999999</v>
      </c>
      <c r="I25" s="74">
        <v>1</v>
      </c>
      <c r="J25" s="29" t="str">
        <f t="shared" si="0"/>
        <v>12-18</v>
      </c>
      <c r="K25" s="29"/>
      <c r="L25" s="29"/>
      <c r="M25" s="29" t="s">
        <v>135</v>
      </c>
      <c r="N25" s="29"/>
      <c r="O25" s="29" t="s">
        <v>51</v>
      </c>
      <c r="P25" s="73">
        <f t="shared" si="1"/>
        <v>67861699.359999999</v>
      </c>
      <c r="Q25" s="75" t="s">
        <v>52</v>
      </c>
    </row>
    <row r="26" spans="1:19" x14ac:dyDescent="0.25">
      <c r="A26" s="26" t="s">
        <v>81</v>
      </c>
      <c r="B26" s="60" t="s">
        <v>0</v>
      </c>
      <c r="C26" s="60" t="s">
        <v>3</v>
      </c>
      <c r="D26" s="60" t="s">
        <v>166</v>
      </c>
      <c r="E26" s="60">
        <v>2</v>
      </c>
      <c r="F26" s="60" t="s">
        <v>1</v>
      </c>
      <c r="G26" s="72" t="s">
        <v>12</v>
      </c>
      <c r="H26" s="73">
        <v>82415267.5</v>
      </c>
      <c r="I26" s="74">
        <v>1</v>
      </c>
      <c r="J26" s="29" t="str">
        <f t="shared" si="0"/>
        <v>19-35</v>
      </c>
      <c r="K26" s="29"/>
      <c r="L26" s="29"/>
      <c r="M26" s="29" t="s">
        <v>135</v>
      </c>
      <c r="N26" s="29"/>
      <c r="O26" s="29" t="s">
        <v>51</v>
      </c>
      <c r="P26" s="73">
        <f t="shared" si="1"/>
        <v>82415267.5</v>
      </c>
      <c r="Q26" s="75" t="s">
        <v>52</v>
      </c>
    </row>
    <row r="27" spans="1:19" x14ac:dyDescent="0.25">
      <c r="A27" s="26" t="s">
        <v>81</v>
      </c>
      <c r="B27" s="60" t="s">
        <v>0</v>
      </c>
      <c r="C27" s="60" t="s">
        <v>3</v>
      </c>
      <c r="D27" s="60" t="s">
        <v>167</v>
      </c>
      <c r="E27" s="60">
        <v>2</v>
      </c>
      <c r="F27" s="60" t="s">
        <v>1</v>
      </c>
      <c r="G27" s="72" t="s">
        <v>12</v>
      </c>
      <c r="H27" s="73">
        <v>84340950</v>
      </c>
      <c r="I27" s="74">
        <v>1</v>
      </c>
      <c r="J27" s="29" t="str">
        <f t="shared" si="0"/>
        <v>36-45</v>
      </c>
      <c r="K27" s="29"/>
      <c r="L27" s="29"/>
      <c r="M27" s="29" t="s">
        <v>135</v>
      </c>
      <c r="N27" s="29"/>
      <c r="O27" s="29" t="s">
        <v>51</v>
      </c>
      <c r="P27" s="73">
        <f t="shared" si="1"/>
        <v>84340950</v>
      </c>
      <c r="Q27" s="75" t="s">
        <v>52</v>
      </c>
    </row>
    <row r="28" spans="1:19" x14ac:dyDescent="0.25">
      <c r="A28" s="26" t="s">
        <v>81</v>
      </c>
      <c r="B28" s="60" t="s">
        <v>0</v>
      </c>
      <c r="C28" s="60" t="s">
        <v>3</v>
      </c>
      <c r="D28" s="60" t="s">
        <v>168</v>
      </c>
      <c r="E28" s="60">
        <v>2</v>
      </c>
      <c r="F28" s="60" t="s">
        <v>1</v>
      </c>
      <c r="G28" s="72" t="s">
        <v>12</v>
      </c>
      <c r="H28" s="73">
        <v>109632220.5</v>
      </c>
      <c r="I28" s="74">
        <v>1</v>
      </c>
      <c r="J28" s="29" t="str">
        <f t="shared" si="0"/>
        <v>46-60</v>
      </c>
      <c r="K28" s="29"/>
      <c r="L28" s="29"/>
      <c r="M28" s="29" t="s">
        <v>135</v>
      </c>
      <c r="N28" s="29"/>
      <c r="O28" s="29" t="s">
        <v>51</v>
      </c>
      <c r="P28" s="73">
        <f t="shared" si="1"/>
        <v>109632220.5</v>
      </c>
      <c r="Q28" s="75" t="s">
        <v>52</v>
      </c>
    </row>
    <row r="29" spans="1:19" x14ac:dyDescent="0.25">
      <c r="A29" s="26" t="s">
        <v>81</v>
      </c>
      <c r="B29" s="60" t="s">
        <v>0</v>
      </c>
      <c r="C29" s="60" t="s">
        <v>3</v>
      </c>
      <c r="D29" s="60" t="s">
        <v>169</v>
      </c>
      <c r="E29" s="60">
        <v>2</v>
      </c>
      <c r="F29" s="60" t="s">
        <v>1</v>
      </c>
      <c r="G29" s="72" t="s">
        <v>12</v>
      </c>
      <c r="H29" s="73">
        <v>167735585</v>
      </c>
      <c r="I29" s="74">
        <v>1</v>
      </c>
      <c r="J29" s="29" t="str">
        <f t="shared" si="0"/>
        <v>90</v>
      </c>
      <c r="K29" s="29"/>
      <c r="L29" s="29"/>
      <c r="M29" s="29" t="s">
        <v>135</v>
      </c>
      <c r="N29" s="29"/>
      <c r="O29" s="29" t="s">
        <v>51</v>
      </c>
      <c r="P29" s="73">
        <f t="shared" si="1"/>
        <v>167735585</v>
      </c>
      <c r="Q29" s="75" t="s">
        <v>52</v>
      </c>
    </row>
    <row r="30" spans="1:19" x14ac:dyDescent="0.25">
      <c r="A30" s="26" t="s">
        <v>81</v>
      </c>
      <c r="B30" s="60" t="s">
        <v>0</v>
      </c>
      <c r="C30" s="60" t="s">
        <v>3</v>
      </c>
      <c r="D30" s="60" t="s">
        <v>165</v>
      </c>
      <c r="E30" s="60">
        <v>3</v>
      </c>
      <c r="F30" s="60" t="s">
        <v>1</v>
      </c>
      <c r="G30" s="72" t="s">
        <v>12</v>
      </c>
      <c r="H30" s="73">
        <v>67861699.359999999</v>
      </c>
      <c r="I30" s="74">
        <v>1</v>
      </c>
      <c r="J30" s="29" t="str">
        <f t="shared" si="0"/>
        <v>12-18</v>
      </c>
      <c r="K30" s="29"/>
      <c r="L30" s="29"/>
      <c r="M30" s="29" t="s">
        <v>135</v>
      </c>
      <c r="N30" s="29"/>
      <c r="O30" s="29" t="s">
        <v>51</v>
      </c>
      <c r="P30" s="73">
        <f t="shared" si="1"/>
        <v>67861699.359999999</v>
      </c>
      <c r="Q30" s="75" t="s">
        <v>52</v>
      </c>
    </row>
    <row r="31" spans="1:19" x14ac:dyDescent="0.25">
      <c r="A31" s="26" t="s">
        <v>81</v>
      </c>
      <c r="B31" s="60" t="s">
        <v>0</v>
      </c>
      <c r="C31" s="60" t="s">
        <v>3</v>
      </c>
      <c r="D31" s="60" t="s">
        <v>166</v>
      </c>
      <c r="E31" s="60">
        <v>3</v>
      </c>
      <c r="F31" s="60" t="s">
        <v>1</v>
      </c>
      <c r="G31" s="72" t="s">
        <v>12</v>
      </c>
      <c r="H31" s="73">
        <v>82415267.5</v>
      </c>
      <c r="I31" s="74">
        <v>1</v>
      </c>
      <c r="J31" s="29" t="str">
        <f t="shared" si="0"/>
        <v>19-35</v>
      </c>
      <c r="K31" s="29"/>
      <c r="L31" s="29"/>
      <c r="M31" s="29" t="s">
        <v>135</v>
      </c>
      <c r="N31" s="29"/>
      <c r="O31" s="29" t="s">
        <v>51</v>
      </c>
      <c r="P31" s="73">
        <f t="shared" si="1"/>
        <v>82415267.5</v>
      </c>
      <c r="Q31" s="75" t="s">
        <v>52</v>
      </c>
    </row>
    <row r="32" spans="1:19" x14ac:dyDescent="0.25">
      <c r="A32" s="26" t="s">
        <v>81</v>
      </c>
      <c r="B32" s="60" t="s">
        <v>0</v>
      </c>
      <c r="C32" s="60" t="s">
        <v>3</v>
      </c>
      <c r="D32" s="60" t="s">
        <v>167</v>
      </c>
      <c r="E32" s="60">
        <v>3</v>
      </c>
      <c r="F32" s="60" t="s">
        <v>1</v>
      </c>
      <c r="G32" s="72" t="s">
        <v>12</v>
      </c>
      <c r="H32" s="73">
        <v>84340950</v>
      </c>
      <c r="I32" s="74">
        <v>1</v>
      </c>
      <c r="J32" s="29" t="str">
        <f t="shared" si="0"/>
        <v>36-45</v>
      </c>
      <c r="K32" s="29"/>
      <c r="L32" s="29"/>
      <c r="M32" s="29" t="s">
        <v>135</v>
      </c>
      <c r="N32" s="29"/>
      <c r="O32" s="29" t="s">
        <v>51</v>
      </c>
      <c r="P32" s="73">
        <f t="shared" si="1"/>
        <v>84340950</v>
      </c>
      <c r="Q32" s="75" t="s">
        <v>52</v>
      </c>
    </row>
    <row r="33" spans="1:17" x14ac:dyDescent="0.25">
      <c r="A33" s="26" t="s">
        <v>81</v>
      </c>
      <c r="B33" s="60" t="s">
        <v>0</v>
      </c>
      <c r="C33" s="60" t="s">
        <v>3</v>
      </c>
      <c r="D33" s="60" t="s">
        <v>168</v>
      </c>
      <c r="E33" s="60">
        <v>3</v>
      </c>
      <c r="F33" s="60" t="s">
        <v>1</v>
      </c>
      <c r="G33" s="72" t="s">
        <v>12</v>
      </c>
      <c r="H33" s="73">
        <v>109632220.5</v>
      </c>
      <c r="I33" s="74">
        <v>1</v>
      </c>
      <c r="J33" s="29" t="str">
        <f t="shared" si="0"/>
        <v>46-60</v>
      </c>
      <c r="K33" s="29"/>
      <c r="L33" s="29"/>
      <c r="M33" s="29" t="s">
        <v>135</v>
      </c>
      <c r="N33" s="29"/>
      <c r="O33" s="29" t="s">
        <v>51</v>
      </c>
      <c r="P33" s="73">
        <f t="shared" si="1"/>
        <v>109632220.5</v>
      </c>
      <c r="Q33" s="75" t="s">
        <v>52</v>
      </c>
    </row>
    <row r="34" spans="1:17" x14ac:dyDescent="0.25">
      <c r="A34" s="26" t="s">
        <v>81</v>
      </c>
      <c r="B34" s="60" t="s">
        <v>0</v>
      </c>
      <c r="C34" s="60" t="s">
        <v>3</v>
      </c>
      <c r="D34" s="60" t="s">
        <v>169</v>
      </c>
      <c r="E34" s="60">
        <v>3</v>
      </c>
      <c r="F34" s="60" t="s">
        <v>1</v>
      </c>
      <c r="G34" s="72" t="s">
        <v>12</v>
      </c>
      <c r="H34" s="73">
        <v>167735585</v>
      </c>
      <c r="I34" s="74">
        <v>1</v>
      </c>
      <c r="J34" s="29" t="str">
        <f t="shared" si="0"/>
        <v>90</v>
      </c>
      <c r="K34" s="29"/>
      <c r="L34" s="29"/>
      <c r="M34" s="29" t="s">
        <v>135</v>
      </c>
      <c r="N34" s="29"/>
      <c r="O34" s="29" t="s">
        <v>51</v>
      </c>
      <c r="P34" s="73">
        <f t="shared" si="1"/>
        <v>167735585</v>
      </c>
      <c r="Q34" s="75" t="s">
        <v>52</v>
      </c>
    </row>
    <row r="35" spans="1:17" x14ac:dyDescent="0.25">
      <c r="A35" s="26" t="s">
        <v>81</v>
      </c>
      <c r="B35" s="60" t="s">
        <v>0</v>
      </c>
      <c r="C35" s="60" t="s">
        <v>251</v>
      </c>
      <c r="D35" s="60" t="s">
        <v>165</v>
      </c>
      <c r="E35" s="60">
        <v>1</v>
      </c>
      <c r="F35" s="60" t="s">
        <v>1</v>
      </c>
      <c r="G35" s="72" t="s">
        <v>12</v>
      </c>
      <c r="H35" s="73">
        <v>6329992.5</v>
      </c>
      <c r="I35" s="74">
        <v>1</v>
      </c>
      <c r="J35" s="29" t="str">
        <f t="shared" ref="J35:J87" si="2">+IF(ISNUMBER(FIND("12 - 18",D35)),"12-18",IF(ISNUMBER(FIND("19 - 35",D35)),"19-35",IF(ISNUMBER(FIND("36 - 45",D35)),"36-45",IF(ISNUMBER(FIND("46 - 60",D35)),"46-60",IF(ISNUMBER(FIND("90",D35)),"90","")))))</f>
        <v>12-18</v>
      </c>
      <c r="K35" s="29">
        <f>60000000*0.4</f>
        <v>24000000</v>
      </c>
      <c r="L35" s="29"/>
      <c r="M35" s="29"/>
      <c r="N35" s="29"/>
      <c r="O35" s="29" t="s">
        <v>51</v>
      </c>
      <c r="P35" s="73">
        <f t="shared" ref="P35:P87" si="3">+I35*H35</f>
        <v>6329992.5</v>
      </c>
      <c r="Q35" s="75" t="s">
        <v>52</v>
      </c>
    </row>
    <row r="36" spans="1:17" x14ac:dyDescent="0.25">
      <c r="A36" s="26" t="s">
        <v>81</v>
      </c>
      <c r="B36" s="60" t="s">
        <v>0</v>
      </c>
      <c r="C36" s="60" t="s">
        <v>251</v>
      </c>
      <c r="D36" s="60" t="s">
        <v>166</v>
      </c>
      <c r="E36" s="60">
        <v>1</v>
      </c>
      <c r="F36" s="60" t="s">
        <v>1</v>
      </c>
      <c r="G36" s="72" t="s">
        <v>12</v>
      </c>
      <c r="H36" s="73">
        <v>6329992.5</v>
      </c>
      <c r="I36" s="74">
        <v>1</v>
      </c>
      <c r="J36" s="29" t="str">
        <f t="shared" si="2"/>
        <v>19-35</v>
      </c>
      <c r="K36" s="29">
        <f>60000000*0.4</f>
        <v>24000000</v>
      </c>
      <c r="L36" s="29"/>
      <c r="M36" s="29"/>
      <c r="N36" s="29"/>
      <c r="O36" s="29" t="s">
        <v>51</v>
      </c>
      <c r="P36" s="73">
        <f t="shared" si="3"/>
        <v>6329992.5</v>
      </c>
      <c r="Q36" s="75" t="s">
        <v>52</v>
      </c>
    </row>
    <row r="37" spans="1:17" x14ac:dyDescent="0.25">
      <c r="A37" s="26" t="s">
        <v>81</v>
      </c>
      <c r="B37" s="60" t="s">
        <v>0</v>
      </c>
      <c r="C37" s="60" t="s">
        <v>251</v>
      </c>
      <c r="D37" s="60" t="s">
        <v>167</v>
      </c>
      <c r="E37" s="60">
        <v>1</v>
      </c>
      <c r="F37" s="60" t="s">
        <v>1</v>
      </c>
      <c r="G37" s="72" t="s">
        <v>12</v>
      </c>
      <c r="H37" s="73">
        <v>6329992.5</v>
      </c>
      <c r="I37" s="74">
        <v>1</v>
      </c>
      <c r="J37" s="29" t="str">
        <f t="shared" si="2"/>
        <v>36-45</v>
      </c>
      <c r="K37" s="29">
        <f>60000000*0.2</f>
        <v>12000000</v>
      </c>
      <c r="L37" s="29"/>
      <c r="M37" s="29"/>
      <c r="N37" s="29"/>
      <c r="O37" s="29" t="s">
        <v>51</v>
      </c>
      <c r="P37" s="73">
        <f t="shared" si="3"/>
        <v>6329992.5</v>
      </c>
      <c r="Q37" s="75" t="s">
        <v>52</v>
      </c>
    </row>
    <row r="38" spans="1:17" x14ac:dyDescent="0.25">
      <c r="A38" s="26" t="s">
        <v>81</v>
      </c>
      <c r="B38" s="60" t="s">
        <v>0</v>
      </c>
      <c r="C38" s="60" t="s">
        <v>251</v>
      </c>
      <c r="D38" s="60" t="s">
        <v>168</v>
      </c>
      <c r="E38" s="60">
        <v>1</v>
      </c>
      <c r="F38" s="60" t="s">
        <v>1</v>
      </c>
      <c r="G38" s="72" t="s">
        <v>12</v>
      </c>
      <c r="H38" s="73">
        <v>6329992.5</v>
      </c>
      <c r="I38" s="74">
        <v>1</v>
      </c>
      <c r="J38" s="29" t="str">
        <f t="shared" si="2"/>
        <v>46-60</v>
      </c>
      <c r="K38" s="29"/>
      <c r="L38" s="29"/>
      <c r="M38" s="29"/>
      <c r="N38" s="29"/>
      <c r="O38" s="29" t="s">
        <v>51</v>
      </c>
      <c r="P38" s="73">
        <f t="shared" si="3"/>
        <v>6329992.5</v>
      </c>
      <c r="Q38" s="75" t="s">
        <v>52</v>
      </c>
    </row>
    <row r="39" spans="1:17" x14ac:dyDescent="0.25">
      <c r="A39" s="26" t="s">
        <v>81</v>
      </c>
      <c r="B39" s="60" t="s">
        <v>0</v>
      </c>
      <c r="C39" s="60" t="s">
        <v>251</v>
      </c>
      <c r="D39" s="60" t="s">
        <v>169</v>
      </c>
      <c r="E39" s="60">
        <v>1</v>
      </c>
      <c r="F39" s="60" t="s">
        <v>1</v>
      </c>
      <c r="G39" s="72" t="s">
        <v>12</v>
      </c>
      <c r="H39" s="73">
        <v>6329992.5</v>
      </c>
      <c r="I39" s="74">
        <v>1</v>
      </c>
      <c r="J39" s="29" t="str">
        <f t="shared" si="2"/>
        <v>90</v>
      </c>
      <c r="K39" s="29"/>
      <c r="L39" s="29"/>
      <c r="M39" s="29"/>
      <c r="N39" s="29"/>
      <c r="O39" s="29" t="s">
        <v>51</v>
      </c>
      <c r="P39" s="73">
        <f t="shared" si="3"/>
        <v>6329992.5</v>
      </c>
      <c r="Q39" s="75" t="s">
        <v>52</v>
      </c>
    </row>
    <row r="40" spans="1:17" x14ac:dyDescent="0.25">
      <c r="A40" s="26" t="s">
        <v>81</v>
      </c>
      <c r="B40" s="60" t="s">
        <v>0</v>
      </c>
      <c r="C40" s="60" t="s">
        <v>251</v>
      </c>
      <c r="D40" s="60" t="s">
        <v>165</v>
      </c>
      <c r="E40" s="60">
        <v>2</v>
      </c>
      <c r="F40" s="60" t="s">
        <v>1</v>
      </c>
      <c r="G40" s="72" t="s">
        <v>12</v>
      </c>
      <c r="H40" s="73">
        <v>6329992.5</v>
      </c>
      <c r="I40" s="74">
        <v>1</v>
      </c>
      <c r="J40" s="29" t="str">
        <f t="shared" si="2"/>
        <v>12-18</v>
      </c>
      <c r="K40" s="29"/>
      <c r="L40" s="29"/>
      <c r="M40" s="29"/>
      <c r="N40" s="29"/>
      <c r="O40" s="29" t="s">
        <v>51</v>
      </c>
      <c r="P40" s="73">
        <f t="shared" si="3"/>
        <v>6329992.5</v>
      </c>
      <c r="Q40" s="75" t="s">
        <v>52</v>
      </c>
    </row>
    <row r="41" spans="1:17" x14ac:dyDescent="0.25">
      <c r="A41" s="26" t="s">
        <v>81</v>
      </c>
      <c r="B41" s="60" t="s">
        <v>0</v>
      </c>
      <c r="C41" s="60" t="s">
        <v>251</v>
      </c>
      <c r="D41" s="60" t="s">
        <v>166</v>
      </c>
      <c r="E41" s="60">
        <v>2</v>
      </c>
      <c r="F41" s="60" t="s">
        <v>1</v>
      </c>
      <c r="G41" s="72" t="s">
        <v>12</v>
      </c>
      <c r="H41" s="73">
        <v>6329992.5</v>
      </c>
      <c r="I41" s="74">
        <v>1</v>
      </c>
      <c r="J41" s="29" t="str">
        <f t="shared" si="2"/>
        <v>19-35</v>
      </c>
      <c r="K41" s="29"/>
      <c r="L41" s="29"/>
      <c r="M41" s="29"/>
      <c r="N41" s="29"/>
      <c r="O41" s="29" t="s">
        <v>51</v>
      </c>
      <c r="P41" s="73">
        <f t="shared" si="3"/>
        <v>6329992.5</v>
      </c>
      <c r="Q41" s="75" t="s">
        <v>52</v>
      </c>
    </row>
    <row r="42" spans="1:17" x14ac:dyDescent="0.25">
      <c r="A42" s="26" t="s">
        <v>81</v>
      </c>
      <c r="B42" s="60" t="s">
        <v>0</v>
      </c>
      <c r="C42" s="60" t="s">
        <v>251</v>
      </c>
      <c r="D42" s="60" t="s">
        <v>167</v>
      </c>
      <c r="E42" s="60">
        <v>2</v>
      </c>
      <c r="F42" s="60" t="s">
        <v>1</v>
      </c>
      <c r="G42" s="72" t="s">
        <v>12</v>
      </c>
      <c r="H42" s="73">
        <v>6329992.5</v>
      </c>
      <c r="I42" s="74">
        <v>1</v>
      </c>
      <c r="J42" s="29" t="str">
        <f t="shared" si="2"/>
        <v>36-45</v>
      </c>
      <c r="K42" s="29"/>
      <c r="L42" s="29"/>
      <c r="M42" s="29"/>
      <c r="N42" s="29"/>
      <c r="O42" s="29" t="s">
        <v>51</v>
      </c>
      <c r="P42" s="73">
        <f t="shared" si="3"/>
        <v>6329992.5</v>
      </c>
      <c r="Q42" s="75" t="s">
        <v>52</v>
      </c>
    </row>
    <row r="43" spans="1:17" x14ac:dyDescent="0.25">
      <c r="A43" s="26" t="s">
        <v>81</v>
      </c>
      <c r="B43" s="60" t="s">
        <v>0</v>
      </c>
      <c r="C43" s="60" t="s">
        <v>251</v>
      </c>
      <c r="D43" s="60" t="s">
        <v>168</v>
      </c>
      <c r="E43" s="60">
        <v>2</v>
      </c>
      <c r="F43" s="60" t="s">
        <v>1</v>
      </c>
      <c r="G43" s="72" t="s">
        <v>12</v>
      </c>
      <c r="H43" s="73">
        <v>6329992.5</v>
      </c>
      <c r="I43" s="74">
        <v>1</v>
      </c>
      <c r="J43" s="29" t="str">
        <f t="shared" si="2"/>
        <v>46-60</v>
      </c>
      <c r="K43" s="29"/>
      <c r="L43" s="29"/>
      <c r="M43" s="29"/>
      <c r="N43" s="29"/>
      <c r="O43" s="29" t="s">
        <v>51</v>
      </c>
      <c r="P43" s="73">
        <f t="shared" si="3"/>
        <v>6329992.5</v>
      </c>
      <c r="Q43" s="75" t="s">
        <v>52</v>
      </c>
    </row>
    <row r="44" spans="1:17" x14ac:dyDescent="0.25">
      <c r="A44" s="26" t="s">
        <v>81</v>
      </c>
      <c r="B44" s="60" t="s">
        <v>0</v>
      </c>
      <c r="C44" s="60" t="s">
        <v>251</v>
      </c>
      <c r="D44" s="60" t="s">
        <v>169</v>
      </c>
      <c r="E44" s="60">
        <v>2</v>
      </c>
      <c r="F44" s="60" t="s">
        <v>1</v>
      </c>
      <c r="G44" s="72" t="s">
        <v>12</v>
      </c>
      <c r="H44" s="73">
        <v>6329992.5</v>
      </c>
      <c r="I44" s="74">
        <v>1</v>
      </c>
      <c r="J44" s="29" t="str">
        <f t="shared" si="2"/>
        <v>90</v>
      </c>
      <c r="K44" s="29"/>
      <c r="L44" s="29"/>
      <c r="M44" s="29"/>
      <c r="N44" s="29"/>
      <c r="O44" s="29" t="s">
        <v>51</v>
      </c>
      <c r="P44" s="73">
        <f t="shared" si="3"/>
        <v>6329992.5</v>
      </c>
      <c r="Q44" s="75" t="s">
        <v>52</v>
      </c>
    </row>
    <row r="45" spans="1:17" x14ac:dyDescent="0.25">
      <c r="A45" s="26" t="s">
        <v>81</v>
      </c>
      <c r="B45" s="60" t="s">
        <v>0</v>
      </c>
      <c r="C45" s="60" t="s">
        <v>251</v>
      </c>
      <c r="D45" s="60" t="s">
        <v>165</v>
      </c>
      <c r="E45" s="60">
        <v>3</v>
      </c>
      <c r="F45" s="60" t="s">
        <v>1</v>
      </c>
      <c r="G45" s="72" t="s">
        <v>12</v>
      </c>
      <c r="H45" s="73">
        <v>6329992.5</v>
      </c>
      <c r="I45" s="74">
        <v>1</v>
      </c>
      <c r="J45" s="29" t="str">
        <f t="shared" si="2"/>
        <v>12-18</v>
      </c>
      <c r="K45" s="29"/>
      <c r="L45" s="29"/>
      <c r="M45" s="29"/>
      <c r="N45" s="29"/>
      <c r="O45" s="29" t="s">
        <v>51</v>
      </c>
      <c r="P45" s="73">
        <f t="shared" si="3"/>
        <v>6329992.5</v>
      </c>
      <c r="Q45" s="75" t="s">
        <v>52</v>
      </c>
    </row>
    <row r="46" spans="1:17" x14ac:dyDescent="0.25">
      <c r="A46" s="26" t="s">
        <v>81</v>
      </c>
      <c r="B46" s="60" t="s">
        <v>0</v>
      </c>
      <c r="C46" s="60" t="s">
        <v>251</v>
      </c>
      <c r="D46" s="60" t="s">
        <v>166</v>
      </c>
      <c r="E46" s="60">
        <v>3</v>
      </c>
      <c r="F46" s="60" t="s">
        <v>1</v>
      </c>
      <c r="G46" s="72" t="s">
        <v>12</v>
      </c>
      <c r="H46" s="73">
        <v>6329992.5</v>
      </c>
      <c r="I46" s="74">
        <v>1</v>
      </c>
      <c r="J46" s="29" t="str">
        <f t="shared" si="2"/>
        <v>19-35</v>
      </c>
      <c r="K46" s="29"/>
      <c r="L46" s="29"/>
      <c r="M46" s="29"/>
      <c r="N46" s="29"/>
      <c r="O46" s="29" t="s">
        <v>51</v>
      </c>
      <c r="P46" s="73">
        <f t="shared" si="3"/>
        <v>6329992.5</v>
      </c>
      <c r="Q46" s="75" t="s">
        <v>52</v>
      </c>
    </row>
    <row r="47" spans="1:17" x14ac:dyDescent="0.25">
      <c r="A47" s="26" t="s">
        <v>81</v>
      </c>
      <c r="B47" s="60" t="s">
        <v>0</v>
      </c>
      <c r="C47" s="60" t="s">
        <v>251</v>
      </c>
      <c r="D47" s="60" t="s">
        <v>167</v>
      </c>
      <c r="E47" s="60">
        <v>3</v>
      </c>
      <c r="F47" s="60" t="s">
        <v>1</v>
      </c>
      <c r="G47" s="72" t="s">
        <v>12</v>
      </c>
      <c r="H47" s="73">
        <v>6329992.5</v>
      </c>
      <c r="I47" s="74">
        <v>1</v>
      </c>
      <c r="J47" s="29" t="str">
        <f t="shared" si="2"/>
        <v>36-45</v>
      </c>
      <c r="K47" s="29"/>
      <c r="L47" s="29"/>
      <c r="M47" s="29"/>
      <c r="N47" s="29"/>
      <c r="O47" s="29" t="s">
        <v>51</v>
      </c>
      <c r="P47" s="73">
        <f t="shared" si="3"/>
        <v>6329992.5</v>
      </c>
      <c r="Q47" s="75" t="s">
        <v>52</v>
      </c>
    </row>
    <row r="48" spans="1:17" x14ac:dyDescent="0.25">
      <c r="A48" s="26" t="s">
        <v>81</v>
      </c>
      <c r="B48" s="60" t="s">
        <v>0</v>
      </c>
      <c r="C48" s="60" t="s">
        <v>251</v>
      </c>
      <c r="D48" s="60" t="s">
        <v>168</v>
      </c>
      <c r="E48" s="60">
        <v>3</v>
      </c>
      <c r="F48" s="60" t="s">
        <v>1</v>
      </c>
      <c r="G48" s="72" t="s">
        <v>12</v>
      </c>
      <c r="H48" s="73">
        <v>6329992.5</v>
      </c>
      <c r="I48" s="74">
        <v>1</v>
      </c>
      <c r="J48" s="29" t="str">
        <f t="shared" si="2"/>
        <v>46-60</v>
      </c>
      <c r="K48" s="29"/>
      <c r="L48" s="29"/>
      <c r="M48" s="29"/>
      <c r="N48" s="29"/>
      <c r="O48" s="29" t="s">
        <v>51</v>
      </c>
      <c r="P48" s="73">
        <f t="shared" si="3"/>
        <v>6329992.5</v>
      </c>
      <c r="Q48" s="75" t="s">
        <v>52</v>
      </c>
    </row>
    <row r="49" spans="1:17" x14ac:dyDescent="0.25">
      <c r="A49" s="26" t="s">
        <v>81</v>
      </c>
      <c r="B49" s="60" t="s">
        <v>0</v>
      </c>
      <c r="C49" s="60" t="s">
        <v>251</v>
      </c>
      <c r="D49" s="60" t="s">
        <v>169</v>
      </c>
      <c r="E49" s="60">
        <v>3</v>
      </c>
      <c r="F49" s="60" t="s">
        <v>1</v>
      </c>
      <c r="G49" s="72" t="s">
        <v>12</v>
      </c>
      <c r="H49" s="73">
        <v>6329992.5</v>
      </c>
      <c r="I49" s="74">
        <v>1</v>
      </c>
      <c r="J49" s="29" t="str">
        <f t="shared" si="2"/>
        <v>90</v>
      </c>
      <c r="K49" s="29"/>
      <c r="L49" s="29"/>
      <c r="M49" s="29"/>
      <c r="N49" s="29"/>
      <c r="O49" s="29" t="s">
        <v>51</v>
      </c>
      <c r="P49" s="73">
        <f t="shared" si="3"/>
        <v>6329992.5</v>
      </c>
      <c r="Q49" s="75" t="s">
        <v>52</v>
      </c>
    </row>
    <row r="50" spans="1:17" x14ac:dyDescent="0.25">
      <c r="A50" s="26" t="s">
        <v>81</v>
      </c>
      <c r="B50" s="60" t="s">
        <v>0</v>
      </c>
      <c r="C50" s="26" t="s">
        <v>252</v>
      </c>
      <c r="D50" s="60" t="s">
        <v>165</v>
      </c>
      <c r="E50" s="60">
        <v>1</v>
      </c>
      <c r="F50" s="60" t="s">
        <v>1</v>
      </c>
      <c r="G50" s="72" t="s">
        <v>12</v>
      </c>
      <c r="H50" s="73">
        <v>15580725</v>
      </c>
      <c r="I50" s="74">
        <v>1</v>
      </c>
      <c r="J50" s="29" t="str">
        <f t="shared" si="2"/>
        <v>12-18</v>
      </c>
      <c r="K50" s="29"/>
      <c r="L50" s="29"/>
      <c r="M50" s="29"/>
      <c r="N50" s="29"/>
      <c r="O50" s="29" t="s">
        <v>51</v>
      </c>
      <c r="P50" s="73">
        <f t="shared" si="3"/>
        <v>15580725</v>
      </c>
      <c r="Q50" s="75" t="s">
        <v>52</v>
      </c>
    </row>
    <row r="51" spans="1:17" x14ac:dyDescent="0.25">
      <c r="A51" s="26" t="s">
        <v>81</v>
      </c>
      <c r="B51" s="60" t="s">
        <v>0</v>
      </c>
      <c r="C51" s="26" t="s">
        <v>252</v>
      </c>
      <c r="D51" s="60" t="s">
        <v>166</v>
      </c>
      <c r="E51" s="60">
        <v>1</v>
      </c>
      <c r="F51" s="60" t="s">
        <v>1</v>
      </c>
      <c r="G51" s="72" t="s">
        <v>12</v>
      </c>
      <c r="H51" s="73">
        <v>23430725</v>
      </c>
      <c r="I51" s="74">
        <v>1</v>
      </c>
      <c r="J51" s="29" t="str">
        <f t="shared" si="2"/>
        <v>19-35</v>
      </c>
      <c r="K51" s="29"/>
      <c r="L51" s="29"/>
      <c r="M51" s="29"/>
      <c r="N51" s="29"/>
      <c r="O51" s="29" t="s">
        <v>51</v>
      </c>
      <c r="P51" s="73">
        <f t="shared" si="3"/>
        <v>23430725</v>
      </c>
      <c r="Q51" s="75" t="s">
        <v>52</v>
      </c>
    </row>
    <row r="52" spans="1:17" x14ac:dyDescent="0.25">
      <c r="A52" s="26" t="s">
        <v>81</v>
      </c>
      <c r="B52" s="60" t="s">
        <v>0</v>
      </c>
      <c r="C52" s="26" t="s">
        <v>252</v>
      </c>
      <c r="D52" s="60" t="s">
        <v>167</v>
      </c>
      <c r="E52" s="60">
        <v>1</v>
      </c>
      <c r="F52" s="60" t="s">
        <v>1</v>
      </c>
      <c r="G52" s="72" t="s">
        <v>12</v>
      </c>
      <c r="H52" s="73">
        <v>31030725</v>
      </c>
      <c r="I52" s="74">
        <v>1</v>
      </c>
      <c r="J52" s="29" t="str">
        <f t="shared" si="2"/>
        <v>36-45</v>
      </c>
      <c r="K52" s="29"/>
      <c r="L52" s="29"/>
      <c r="M52" s="29"/>
      <c r="N52" s="29"/>
      <c r="O52" s="29" t="s">
        <v>51</v>
      </c>
      <c r="P52" s="73">
        <f t="shared" si="3"/>
        <v>31030725</v>
      </c>
      <c r="Q52" s="75" t="s">
        <v>52</v>
      </c>
    </row>
    <row r="53" spans="1:17" x14ac:dyDescent="0.25">
      <c r="A53" s="26" t="s">
        <v>81</v>
      </c>
      <c r="B53" s="60" t="s">
        <v>0</v>
      </c>
      <c r="C53" s="26" t="s">
        <v>252</v>
      </c>
      <c r="D53" s="60" t="s">
        <v>168</v>
      </c>
      <c r="E53" s="60">
        <v>1</v>
      </c>
      <c r="F53" s="60" t="s">
        <v>1</v>
      </c>
      <c r="G53" s="72" t="s">
        <v>12</v>
      </c>
      <c r="H53" s="73">
        <v>36830725</v>
      </c>
      <c r="I53" s="74">
        <v>1</v>
      </c>
      <c r="J53" s="29" t="str">
        <f t="shared" si="2"/>
        <v>46-60</v>
      </c>
      <c r="K53" s="29"/>
      <c r="L53" s="29"/>
      <c r="M53" s="29"/>
      <c r="N53" s="29"/>
      <c r="O53" s="29" t="s">
        <v>51</v>
      </c>
      <c r="P53" s="73">
        <f t="shared" si="3"/>
        <v>36830725</v>
      </c>
      <c r="Q53" s="75" t="s">
        <v>52</v>
      </c>
    </row>
    <row r="54" spans="1:17" x14ac:dyDescent="0.25">
      <c r="A54" s="26" t="s">
        <v>81</v>
      </c>
      <c r="B54" s="60" t="s">
        <v>0</v>
      </c>
      <c r="C54" s="26" t="s">
        <v>252</v>
      </c>
      <c r="D54" s="60" t="s">
        <v>169</v>
      </c>
      <c r="E54" s="60">
        <v>1</v>
      </c>
      <c r="F54" s="60" t="s">
        <v>1</v>
      </c>
      <c r="G54" s="72" t="s">
        <v>12</v>
      </c>
      <c r="H54" s="73">
        <v>48730725</v>
      </c>
      <c r="I54" s="74">
        <v>1</v>
      </c>
      <c r="J54" s="29" t="str">
        <f t="shared" si="2"/>
        <v>90</v>
      </c>
      <c r="K54" s="29"/>
      <c r="L54" s="29"/>
      <c r="M54" s="29"/>
      <c r="N54" s="29"/>
      <c r="O54" s="29" t="s">
        <v>51</v>
      </c>
      <c r="P54" s="73">
        <f t="shared" si="3"/>
        <v>48730725</v>
      </c>
      <c r="Q54" s="75" t="s">
        <v>52</v>
      </c>
    </row>
    <row r="55" spans="1:17" x14ac:dyDescent="0.25">
      <c r="A55" s="26" t="s">
        <v>81</v>
      </c>
      <c r="B55" s="60" t="s">
        <v>0</v>
      </c>
      <c r="C55" s="26" t="s">
        <v>252</v>
      </c>
      <c r="D55" s="60" t="s">
        <v>165</v>
      </c>
      <c r="E55" s="60">
        <v>2</v>
      </c>
      <c r="F55" s="60" t="s">
        <v>1</v>
      </c>
      <c r="G55" s="72" t="s">
        <v>12</v>
      </c>
      <c r="H55" s="73">
        <v>15580725</v>
      </c>
      <c r="I55" s="74">
        <v>1</v>
      </c>
      <c r="J55" s="29" t="str">
        <f t="shared" si="2"/>
        <v>12-18</v>
      </c>
      <c r="K55" s="29"/>
      <c r="L55" s="29"/>
      <c r="M55" s="29"/>
      <c r="N55" s="29"/>
      <c r="O55" s="29" t="s">
        <v>51</v>
      </c>
      <c r="P55" s="73">
        <f t="shared" si="3"/>
        <v>15580725</v>
      </c>
      <c r="Q55" s="75" t="s">
        <v>52</v>
      </c>
    </row>
    <row r="56" spans="1:17" x14ac:dyDescent="0.25">
      <c r="A56" s="26" t="s">
        <v>81</v>
      </c>
      <c r="B56" s="60" t="s">
        <v>0</v>
      </c>
      <c r="C56" s="26" t="s">
        <v>252</v>
      </c>
      <c r="D56" s="60" t="s">
        <v>166</v>
      </c>
      <c r="E56" s="60">
        <v>2</v>
      </c>
      <c r="F56" s="60" t="s">
        <v>1</v>
      </c>
      <c r="G56" s="72" t="s">
        <v>12</v>
      </c>
      <c r="H56" s="73">
        <v>23430725</v>
      </c>
      <c r="I56" s="74">
        <v>1</v>
      </c>
      <c r="J56" s="29" t="str">
        <f t="shared" si="2"/>
        <v>19-35</v>
      </c>
      <c r="K56" s="29"/>
      <c r="L56" s="29"/>
      <c r="M56" s="29"/>
      <c r="N56" s="29"/>
      <c r="O56" s="29" t="s">
        <v>51</v>
      </c>
      <c r="P56" s="73">
        <f t="shared" si="3"/>
        <v>23430725</v>
      </c>
      <c r="Q56" s="75" t="s">
        <v>52</v>
      </c>
    </row>
    <row r="57" spans="1:17" x14ac:dyDescent="0.25">
      <c r="A57" s="26" t="s">
        <v>81</v>
      </c>
      <c r="B57" s="60" t="s">
        <v>0</v>
      </c>
      <c r="C57" s="26" t="s">
        <v>252</v>
      </c>
      <c r="D57" s="60" t="s">
        <v>167</v>
      </c>
      <c r="E57" s="60">
        <v>2</v>
      </c>
      <c r="F57" s="60" t="s">
        <v>1</v>
      </c>
      <c r="G57" s="72" t="s">
        <v>12</v>
      </c>
      <c r="H57" s="73">
        <v>31030725</v>
      </c>
      <c r="I57" s="74">
        <v>1</v>
      </c>
      <c r="J57" s="29" t="str">
        <f t="shared" si="2"/>
        <v>36-45</v>
      </c>
      <c r="K57" s="29"/>
      <c r="L57" s="29"/>
      <c r="M57" s="29"/>
      <c r="N57" s="29"/>
      <c r="O57" s="29" t="s">
        <v>51</v>
      </c>
      <c r="P57" s="73">
        <f t="shared" si="3"/>
        <v>31030725</v>
      </c>
      <c r="Q57" s="75" t="s">
        <v>52</v>
      </c>
    </row>
    <row r="58" spans="1:17" x14ac:dyDescent="0.25">
      <c r="A58" s="26" t="s">
        <v>81</v>
      </c>
      <c r="B58" s="60" t="s">
        <v>0</v>
      </c>
      <c r="C58" s="26" t="s">
        <v>252</v>
      </c>
      <c r="D58" s="60" t="s">
        <v>168</v>
      </c>
      <c r="E58" s="60">
        <v>2</v>
      </c>
      <c r="F58" s="60" t="s">
        <v>1</v>
      </c>
      <c r="G58" s="72" t="s">
        <v>12</v>
      </c>
      <c r="H58" s="73">
        <v>36830725</v>
      </c>
      <c r="I58" s="74">
        <v>1</v>
      </c>
      <c r="J58" s="29" t="str">
        <f t="shared" si="2"/>
        <v>46-60</v>
      </c>
      <c r="K58" s="29"/>
      <c r="L58" s="29"/>
      <c r="M58" s="29"/>
      <c r="N58" s="29"/>
      <c r="O58" s="29" t="s">
        <v>51</v>
      </c>
      <c r="P58" s="73">
        <f t="shared" si="3"/>
        <v>36830725</v>
      </c>
      <c r="Q58" s="75" t="s">
        <v>52</v>
      </c>
    </row>
    <row r="59" spans="1:17" x14ac:dyDescent="0.25">
      <c r="A59" s="26" t="s">
        <v>81</v>
      </c>
      <c r="B59" s="60" t="s">
        <v>0</v>
      </c>
      <c r="C59" s="26" t="s">
        <v>252</v>
      </c>
      <c r="D59" s="60" t="s">
        <v>169</v>
      </c>
      <c r="E59" s="60">
        <v>2</v>
      </c>
      <c r="F59" s="60" t="s">
        <v>1</v>
      </c>
      <c r="G59" s="72" t="s">
        <v>12</v>
      </c>
      <c r="H59" s="73">
        <v>48730725</v>
      </c>
      <c r="I59" s="74">
        <v>1</v>
      </c>
      <c r="J59" s="29" t="str">
        <f t="shared" si="2"/>
        <v>90</v>
      </c>
      <c r="K59" s="29"/>
      <c r="L59" s="29"/>
      <c r="M59" s="29"/>
      <c r="N59" s="29"/>
      <c r="O59" s="29" t="s">
        <v>51</v>
      </c>
      <c r="P59" s="73">
        <f t="shared" si="3"/>
        <v>48730725</v>
      </c>
      <c r="Q59" s="75" t="s">
        <v>52</v>
      </c>
    </row>
    <row r="60" spans="1:17" x14ac:dyDescent="0.25">
      <c r="A60" s="26" t="s">
        <v>81</v>
      </c>
      <c r="B60" s="60" t="s">
        <v>0</v>
      </c>
      <c r="C60" s="26" t="s">
        <v>252</v>
      </c>
      <c r="D60" s="60" t="s">
        <v>165</v>
      </c>
      <c r="E60" s="60">
        <v>3</v>
      </c>
      <c r="F60" s="60" t="s">
        <v>1</v>
      </c>
      <c r="G60" s="72" t="s">
        <v>12</v>
      </c>
      <c r="H60" s="73">
        <v>15580725</v>
      </c>
      <c r="I60" s="74">
        <v>1</v>
      </c>
      <c r="J60" s="29" t="str">
        <f t="shared" si="2"/>
        <v>12-18</v>
      </c>
      <c r="K60" s="29"/>
      <c r="L60" s="29"/>
      <c r="M60" s="29"/>
      <c r="N60" s="29"/>
      <c r="O60" s="29" t="s">
        <v>51</v>
      </c>
      <c r="P60" s="73">
        <f t="shared" si="3"/>
        <v>15580725</v>
      </c>
      <c r="Q60" s="75" t="s">
        <v>52</v>
      </c>
    </row>
    <row r="61" spans="1:17" x14ac:dyDescent="0.25">
      <c r="A61" s="26" t="s">
        <v>81</v>
      </c>
      <c r="B61" s="60" t="s">
        <v>0</v>
      </c>
      <c r="C61" s="26" t="s">
        <v>252</v>
      </c>
      <c r="D61" s="60" t="s">
        <v>166</v>
      </c>
      <c r="E61" s="60">
        <v>3</v>
      </c>
      <c r="F61" s="60" t="s">
        <v>1</v>
      </c>
      <c r="G61" s="72" t="s">
        <v>12</v>
      </c>
      <c r="H61" s="73">
        <v>23430725</v>
      </c>
      <c r="I61" s="74">
        <v>1</v>
      </c>
      <c r="J61" s="29" t="str">
        <f t="shared" si="2"/>
        <v>19-35</v>
      </c>
      <c r="K61" s="29"/>
      <c r="L61" s="29"/>
      <c r="M61" s="29"/>
      <c r="N61" s="29"/>
      <c r="O61" s="29" t="s">
        <v>51</v>
      </c>
      <c r="P61" s="73">
        <f t="shared" si="3"/>
        <v>23430725</v>
      </c>
      <c r="Q61" s="75" t="s">
        <v>52</v>
      </c>
    </row>
    <row r="62" spans="1:17" x14ac:dyDescent="0.25">
      <c r="A62" s="26" t="s">
        <v>81</v>
      </c>
      <c r="B62" s="60" t="s">
        <v>0</v>
      </c>
      <c r="C62" s="26" t="s">
        <v>252</v>
      </c>
      <c r="D62" s="60" t="s">
        <v>167</v>
      </c>
      <c r="E62" s="60">
        <v>3</v>
      </c>
      <c r="F62" s="60" t="s">
        <v>1</v>
      </c>
      <c r="G62" s="72" t="s">
        <v>12</v>
      </c>
      <c r="H62" s="73">
        <v>31030725</v>
      </c>
      <c r="I62" s="74">
        <v>1</v>
      </c>
      <c r="J62" s="29" t="str">
        <f t="shared" si="2"/>
        <v>36-45</v>
      </c>
      <c r="K62" s="29"/>
      <c r="L62" s="29"/>
      <c r="M62" s="29"/>
      <c r="N62" s="29"/>
      <c r="O62" s="29" t="s">
        <v>51</v>
      </c>
      <c r="P62" s="73">
        <f t="shared" si="3"/>
        <v>31030725</v>
      </c>
      <c r="Q62" s="75" t="s">
        <v>52</v>
      </c>
    </row>
    <row r="63" spans="1:17" x14ac:dyDescent="0.25">
      <c r="A63" s="26" t="s">
        <v>81</v>
      </c>
      <c r="B63" s="60" t="s">
        <v>0</v>
      </c>
      <c r="C63" s="26" t="s">
        <v>252</v>
      </c>
      <c r="D63" s="60" t="s">
        <v>168</v>
      </c>
      <c r="E63" s="60">
        <v>3</v>
      </c>
      <c r="F63" s="60" t="s">
        <v>1</v>
      </c>
      <c r="G63" s="72" t="s">
        <v>12</v>
      </c>
      <c r="H63" s="73">
        <v>36830725</v>
      </c>
      <c r="I63" s="74">
        <v>1</v>
      </c>
      <c r="J63" s="29" t="str">
        <f t="shared" si="2"/>
        <v>46-60</v>
      </c>
      <c r="K63" s="29"/>
      <c r="L63" s="29"/>
      <c r="M63" s="29"/>
      <c r="N63" s="29"/>
      <c r="O63" s="29" t="s">
        <v>51</v>
      </c>
      <c r="P63" s="73">
        <f t="shared" si="3"/>
        <v>36830725</v>
      </c>
      <c r="Q63" s="75" t="s">
        <v>52</v>
      </c>
    </row>
    <row r="64" spans="1:17" x14ac:dyDescent="0.25">
      <c r="A64" s="26" t="s">
        <v>81</v>
      </c>
      <c r="B64" s="60" t="s">
        <v>0</v>
      </c>
      <c r="C64" s="26" t="s">
        <v>252</v>
      </c>
      <c r="D64" s="60" t="s">
        <v>169</v>
      </c>
      <c r="E64" s="60">
        <v>3</v>
      </c>
      <c r="F64" s="60" t="s">
        <v>1</v>
      </c>
      <c r="G64" s="72" t="s">
        <v>12</v>
      </c>
      <c r="H64" s="73">
        <v>48730725</v>
      </c>
      <c r="I64" s="74">
        <v>1</v>
      </c>
      <c r="J64" s="29" t="str">
        <f t="shared" si="2"/>
        <v>90</v>
      </c>
      <c r="K64" s="29"/>
      <c r="L64" s="29"/>
      <c r="M64" s="29"/>
      <c r="N64" s="29"/>
      <c r="O64" s="29" t="s">
        <v>51</v>
      </c>
      <c r="P64" s="73">
        <f t="shared" si="3"/>
        <v>48730725</v>
      </c>
      <c r="Q64" s="75" t="s">
        <v>52</v>
      </c>
    </row>
    <row r="65" spans="1:17" x14ac:dyDescent="0.25">
      <c r="A65" s="26" t="s">
        <v>81</v>
      </c>
      <c r="B65" s="60" t="s">
        <v>0</v>
      </c>
      <c r="C65" s="60" t="s">
        <v>253</v>
      </c>
      <c r="D65" s="60" t="s">
        <v>165</v>
      </c>
      <c r="E65" s="60">
        <v>1</v>
      </c>
      <c r="F65" s="60" t="s">
        <v>1</v>
      </c>
      <c r="G65" s="72" t="s">
        <v>12</v>
      </c>
      <c r="H65" s="73">
        <v>12000000</v>
      </c>
      <c r="I65" s="74">
        <v>1</v>
      </c>
      <c r="J65" s="29" t="str">
        <f t="shared" si="2"/>
        <v>12-18</v>
      </c>
      <c r="K65" s="29"/>
      <c r="L65" s="29"/>
      <c r="M65" s="29"/>
      <c r="N65" s="29"/>
      <c r="O65" s="29" t="s">
        <v>51</v>
      </c>
      <c r="P65" s="73">
        <f t="shared" si="3"/>
        <v>12000000</v>
      </c>
      <c r="Q65" s="75" t="s">
        <v>52</v>
      </c>
    </row>
    <row r="66" spans="1:17" x14ac:dyDescent="0.25">
      <c r="A66" s="26" t="s">
        <v>81</v>
      </c>
      <c r="B66" s="60" t="s">
        <v>0</v>
      </c>
      <c r="C66" s="60" t="s">
        <v>253</v>
      </c>
      <c r="D66" s="60" t="s">
        <v>166</v>
      </c>
      <c r="E66" s="60">
        <v>1</v>
      </c>
      <c r="F66" s="60" t="s">
        <v>1</v>
      </c>
      <c r="G66" s="72" t="s">
        <v>12</v>
      </c>
      <c r="H66" s="73">
        <v>12000000</v>
      </c>
      <c r="I66" s="74">
        <v>1</v>
      </c>
      <c r="J66" s="29" t="str">
        <f t="shared" si="2"/>
        <v>19-35</v>
      </c>
      <c r="K66" s="29"/>
      <c r="L66" s="29"/>
      <c r="M66" s="29"/>
      <c r="N66" s="29"/>
      <c r="O66" s="29" t="s">
        <v>51</v>
      </c>
      <c r="P66" s="73">
        <f t="shared" si="3"/>
        <v>12000000</v>
      </c>
      <c r="Q66" s="75" t="s">
        <v>52</v>
      </c>
    </row>
    <row r="67" spans="1:17" x14ac:dyDescent="0.25">
      <c r="A67" s="26" t="s">
        <v>81</v>
      </c>
      <c r="B67" s="60" t="s">
        <v>0</v>
      </c>
      <c r="C67" s="60" t="s">
        <v>253</v>
      </c>
      <c r="D67" s="60" t="s">
        <v>167</v>
      </c>
      <c r="E67" s="60">
        <v>1</v>
      </c>
      <c r="F67" s="60" t="s">
        <v>1</v>
      </c>
      <c r="G67" s="72" t="s">
        <v>12</v>
      </c>
      <c r="H67" s="73">
        <v>12000000</v>
      </c>
      <c r="I67" s="74">
        <v>1</v>
      </c>
      <c r="J67" s="29" t="str">
        <f t="shared" si="2"/>
        <v>36-45</v>
      </c>
      <c r="K67" s="29"/>
      <c r="L67" s="29"/>
      <c r="M67" s="29"/>
      <c r="N67" s="29"/>
      <c r="O67" s="29" t="s">
        <v>51</v>
      </c>
      <c r="P67" s="73">
        <f t="shared" si="3"/>
        <v>12000000</v>
      </c>
      <c r="Q67" s="75" t="s">
        <v>52</v>
      </c>
    </row>
    <row r="68" spans="1:17" x14ac:dyDescent="0.25">
      <c r="A68" s="26" t="s">
        <v>81</v>
      </c>
      <c r="B68" s="60" t="s">
        <v>0</v>
      </c>
      <c r="C68" s="60" t="s">
        <v>253</v>
      </c>
      <c r="D68" s="60" t="s">
        <v>168</v>
      </c>
      <c r="E68" s="60">
        <v>1</v>
      </c>
      <c r="F68" s="60" t="s">
        <v>1</v>
      </c>
      <c r="G68" s="72" t="s">
        <v>12</v>
      </c>
      <c r="H68" s="73">
        <v>12000000</v>
      </c>
      <c r="I68" s="74">
        <v>1</v>
      </c>
      <c r="J68" s="29" t="str">
        <f t="shared" si="2"/>
        <v>46-60</v>
      </c>
      <c r="K68" s="29"/>
      <c r="L68" s="29"/>
      <c r="M68" s="29"/>
      <c r="N68" s="29"/>
      <c r="O68" s="29" t="s">
        <v>51</v>
      </c>
      <c r="P68" s="73">
        <f t="shared" si="3"/>
        <v>12000000</v>
      </c>
      <c r="Q68" s="75" t="s">
        <v>52</v>
      </c>
    </row>
    <row r="69" spans="1:17" x14ac:dyDescent="0.25">
      <c r="A69" s="26" t="s">
        <v>81</v>
      </c>
      <c r="B69" s="60" t="s">
        <v>0</v>
      </c>
      <c r="C69" s="60" t="s">
        <v>253</v>
      </c>
      <c r="D69" s="60" t="s">
        <v>169</v>
      </c>
      <c r="E69" s="60">
        <v>1</v>
      </c>
      <c r="F69" s="60" t="s">
        <v>1</v>
      </c>
      <c r="G69" s="72" t="s">
        <v>12</v>
      </c>
      <c r="H69" s="73">
        <v>12000000</v>
      </c>
      <c r="I69" s="74">
        <v>1</v>
      </c>
      <c r="J69" s="29" t="str">
        <f t="shared" si="2"/>
        <v>90</v>
      </c>
      <c r="K69" s="29"/>
      <c r="L69" s="29"/>
      <c r="M69" s="29"/>
      <c r="N69" s="29"/>
      <c r="O69" s="29" t="s">
        <v>51</v>
      </c>
      <c r="P69" s="73">
        <f t="shared" si="3"/>
        <v>12000000</v>
      </c>
      <c r="Q69" s="75" t="s">
        <v>52</v>
      </c>
    </row>
    <row r="70" spans="1:17" x14ac:dyDescent="0.25">
      <c r="A70" s="26" t="s">
        <v>81</v>
      </c>
      <c r="B70" s="60" t="s">
        <v>0</v>
      </c>
      <c r="C70" s="60" t="s">
        <v>253</v>
      </c>
      <c r="D70" s="60" t="s">
        <v>165</v>
      </c>
      <c r="E70" s="60">
        <v>2</v>
      </c>
      <c r="F70" s="60" t="s">
        <v>1</v>
      </c>
      <c r="G70" s="72" t="s">
        <v>12</v>
      </c>
      <c r="H70" s="73">
        <v>12000000</v>
      </c>
      <c r="I70" s="74">
        <v>1</v>
      </c>
      <c r="J70" s="29" t="str">
        <f t="shared" si="2"/>
        <v>12-18</v>
      </c>
      <c r="K70" s="29"/>
      <c r="L70" s="29"/>
      <c r="M70" s="29"/>
      <c r="N70" s="29"/>
      <c r="O70" s="29" t="s">
        <v>51</v>
      </c>
      <c r="P70" s="73">
        <f t="shared" si="3"/>
        <v>12000000</v>
      </c>
      <c r="Q70" s="75" t="s">
        <v>52</v>
      </c>
    </row>
    <row r="71" spans="1:17" x14ac:dyDescent="0.25">
      <c r="A71" s="26" t="s">
        <v>81</v>
      </c>
      <c r="B71" s="60" t="s">
        <v>0</v>
      </c>
      <c r="C71" s="60" t="s">
        <v>253</v>
      </c>
      <c r="D71" s="60" t="s">
        <v>166</v>
      </c>
      <c r="E71" s="60">
        <v>2</v>
      </c>
      <c r="F71" s="60" t="s">
        <v>1</v>
      </c>
      <c r="G71" s="72" t="s">
        <v>12</v>
      </c>
      <c r="H71" s="73">
        <v>12000000</v>
      </c>
      <c r="I71" s="74">
        <v>1</v>
      </c>
      <c r="J71" s="29" t="str">
        <f t="shared" si="2"/>
        <v>19-35</v>
      </c>
      <c r="K71" s="29"/>
      <c r="L71" s="29"/>
      <c r="M71" s="29"/>
      <c r="N71" s="29"/>
      <c r="O71" s="29" t="s">
        <v>51</v>
      </c>
      <c r="P71" s="73">
        <f t="shared" si="3"/>
        <v>12000000</v>
      </c>
      <c r="Q71" s="75" t="s">
        <v>52</v>
      </c>
    </row>
    <row r="72" spans="1:17" x14ac:dyDescent="0.25">
      <c r="A72" s="26" t="s">
        <v>81</v>
      </c>
      <c r="B72" s="60" t="s">
        <v>0</v>
      </c>
      <c r="C72" s="60" t="s">
        <v>253</v>
      </c>
      <c r="D72" s="60" t="s">
        <v>167</v>
      </c>
      <c r="E72" s="60">
        <v>2</v>
      </c>
      <c r="F72" s="60" t="s">
        <v>1</v>
      </c>
      <c r="G72" s="72" t="s">
        <v>12</v>
      </c>
      <c r="H72" s="73">
        <v>12000000</v>
      </c>
      <c r="I72" s="74">
        <v>1</v>
      </c>
      <c r="J72" s="29" t="str">
        <f t="shared" si="2"/>
        <v>36-45</v>
      </c>
      <c r="K72" s="29"/>
      <c r="L72" s="29"/>
      <c r="M72" s="29"/>
      <c r="N72" s="29"/>
      <c r="O72" s="29" t="s">
        <v>51</v>
      </c>
      <c r="P72" s="73">
        <f t="shared" si="3"/>
        <v>12000000</v>
      </c>
      <c r="Q72" s="75" t="s">
        <v>52</v>
      </c>
    </row>
    <row r="73" spans="1:17" x14ac:dyDescent="0.25">
      <c r="A73" s="26" t="s">
        <v>81</v>
      </c>
      <c r="B73" s="60" t="s">
        <v>0</v>
      </c>
      <c r="C73" s="60" t="s">
        <v>253</v>
      </c>
      <c r="D73" s="60" t="s">
        <v>168</v>
      </c>
      <c r="E73" s="60">
        <v>2</v>
      </c>
      <c r="F73" s="60" t="s">
        <v>1</v>
      </c>
      <c r="G73" s="72" t="s">
        <v>12</v>
      </c>
      <c r="H73" s="73">
        <v>12000000</v>
      </c>
      <c r="I73" s="74">
        <v>1</v>
      </c>
      <c r="J73" s="29" t="str">
        <f t="shared" si="2"/>
        <v>46-60</v>
      </c>
      <c r="K73" s="29"/>
      <c r="L73" s="29"/>
      <c r="M73" s="29"/>
      <c r="N73" s="29"/>
      <c r="O73" s="29" t="s">
        <v>51</v>
      </c>
      <c r="P73" s="73">
        <f t="shared" si="3"/>
        <v>12000000</v>
      </c>
      <c r="Q73" s="75" t="s">
        <v>52</v>
      </c>
    </row>
    <row r="74" spans="1:17" x14ac:dyDescent="0.25">
      <c r="A74" s="26" t="s">
        <v>81</v>
      </c>
      <c r="B74" s="60" t="s">
        <v>0</v>
      </c>
      <c r="C74" s="60" t="s">
        <v>253</v>
      </c>
      <c r="D74" s="60" t="s">
        <v>169</v>
      </c>
      <c r="E74" s="60">
        <v>2</v>
      </c>
      <c r="F74" s="60" t="s">
        <v>1</v>
      </c>
      <c r="G74" s="72" t="s">
        <v>12</v>
      </c>
      <c r="H74" s="73">
        <v>12000000</v>
      </c>
      <c r="I74" s="74">
        <v>1</v>
      </c>
      <c r="J74" s="29" t="str">
        <f t="shared" si="2"/>
        <v>90</v>
      </c>
      <c r="K74" s="29"/>
      <c r="L74" s="29"/>
      <c r="M74" s="29"/>
      <c r="N74" s="29"/>
      <c r="O74" s="29" t="s">
        <v>51</v>
      </c>
      <c r="P74" s="73">
        <f t="shared" si="3"/>
        <v>12000000</v>
      </c>
      <c r="Q74" s="75" t="s">
        <v>52</v>
      </c>
    </row>
    <row r="75" spans="1:17" x14ac:dyDescent="0.25">
      <c r="A75" s="26" t="s">
        <v>81</v>
      </c>
      <c r="B75" s="60" t="s">
        <v>0</v>
      </c>
      <c r="C75" s="60" t="s">
        <v>253</v>
      </c>
      <c r="D75" s="60" t="s">
        <v>165</v>
      </c>
      <c r="E75" s="60">
        <v>3</v>
      </c>
      <c r="F75" s="60" t="s">
        <v>1</v>
      </c>
      <c r="G75" s="72" t="s">
        <v>12</v>
      </c>
      <c r="H75" s="73">
        <v>12000000</v>
      </c>
      <c r="I75" s="74">
        <v>1</v>
      </c>
      <c r="J75" s="29" t="str">
        <f t="shared" si="2"/>
        <v>12-18</v>
      </c>
      <c r="K75" s="29"/>
      <c r="L75" s="29"/>
      <c r="M75" s="29"/>
      <c r="N75" s="29"/>
      <c r="O75" s="29" t="s">
        <v>51</v>
      </c>
      <c r="P75" s="73">
        <f t="shared" si="3"/>
        <v>12000000</v>
      </c>
      <c r="Q75" s="75" t="s">
        <v>52</v>
      </c>
    </row>
    <row r="76" spans="1:17" x14ac:dyDescent="0.25">
      <c r="A76" s="26" t="s">
        <v>81</v>
      </c>
      <c r="B76" s="60" t="s">
        <v>0</v>
      </c>
      <c r="C76" s="60" t="s">
        <v>253</v>
      </c>
      <c r="D76" s="60" t="s">
        <v>166</v>
      </c>
      <c r="E76" s="60">
        <v>3</v>
      </c>
      <c r="F76" s="60" t="s">
        <v>1</v>
      </c>
      <c r="G76" s="72" t="s">
        <v>12</v>
      </c>
      <c r="H76" s="73">
        <v>12000000</v>
      </c>
      <c r="I76" s="74">
        <v>1</v>
      </c>
      <c r="J76" s="29" t="str">
        <f t="shared" si="2"/>
        <v>19-35</v>
      </c>
      <c r="K76" s="29"/>
      <c r="L76" s="29"/>
      <c r="M76" s="29"/>
      <c r="N76" s="29"/>
      <c r="O76" s="29" t="s">
        <v>51</v>
      </c>
      <c r="P76" s="73">
        <f t="shared" si="3"/>
        <v>12000000</v>
      </c>
      <c r="Q76" s="75" t="s">
        <v>52</v>
      </c>
    </row>
    <row r="77" spans="1:17" x14ac:dyDescent="0.25">
      <c r="A77" s="26" t="s">
        <v>81</v>
      </c>
      <c r="B77" s="60" t="s">
        <v>0</v>
      </c>
      <c r="C77" s="60" t="s">
        <v>253</v>
      </c>
      <c r="D77" s="60" t="s">
        <v>167</v>
      </c>
      <c r="E77" s="60">
        <v>3</v>
      </c>
      <c r="F77" s="60" t="s">
        <v>1</v>
      </c>
      <c r="G77" s="72" t="s">
        <v>12</v>
      </c>
      <c r="H77" s="73">
        <v>12000000</v>
      </c>
      <c r="I77" s="74">
        <v>1</v>
      </c>
      <c r="J77" s="29" t="str">
        <f t="shared" si="2"/>
        <v>36-45</v>
      </c>
      <c r="K77" s="29"/>
      <c r="L77" s="29"/>
      <c r="M77" s="29"/>
      <c r="N77" s="29"/>
      <c r="O77" s="29" t="s">
        <v>51</v>
      </c>
      <c r="P77" s="73">
        <f t="shared" si="3"/>
        <v>12000000</v>
      </c>
      <c r="Q77" s="75" t="s">
        <v>52</v>
      </c>
    </row>
    <row r="78" spans="1:17" x14ac:dyDescent="0.25">
      <c r="A78" s="26" t="s">
        <v>81</v>
      </c>
      <c r="B78" s="60" t="s">
        <v>0</v>
      </c>
      <c r="C78" s="60" t="s">
        <v>253</v>
      </c>
      <c r="D78" s="60" t="s">
        <v>168</v>
      </c>
      <c r="E78" s="60">
        <v>3</v>
      </c>
      <c r="F78" s="60" t="s">
        <v>1</v>
      </c>
      <c r="G78" s="72" t="s">
        <v>12</v>
      </c>
      <c r="H78" s="73">
        <v>12000000</v>
      </c>
      <c r="I78" s="74">
        <v>1</v>
      </c>
      <c r="J78" s="29" t="str">
        <f t="shared" si="2"/>
        <v>46-60</v>
      </c>
      <c r="K78" s="29"/>
      <c r="L78" s="29"/>
      <c r="M78" s="29"/>
      <c r="N78" s="29"/>
      <c r="O78" s="29" t="s">
        <v>51</v>
      </c>
      <c r="P78" s="73">
        <f t="shared" si="3"/>
        <v>12000000</v>
      </c>
      <c r="Q78" s="75" t="s">
        <v>52</v>
      </c>
    </row>
    <row r="79" spans="1:17" x14ac:dyDescent="0.25">
      <c r="A79" s="26" t="s">
        <v>81</v>
      </c>
      <c r="B79" s="60" t="s">
        <v>0</v>
      </c>
      <c r="C79" s="60" t="s">
        <v>253</v>
      </c>
      <c r="D79" s="60" t="s">
        <v>169</v>
      </c>
      <c r="E79" s="60">
        <v>3</v>
      </c>
      <c r="F79" s="60" t="s">
        <v>1</v>
      </c>
      <c r="G79" s="72" t="s">
        <v>12</v>
      </c>
      <c r="H79" s="73">
        <v>12000000</v>
      </c>
      <c r="I79" s="74">
        <v>1</v>
      </c>
      <c r="J79" s="29" t="str">
        <f t="shared" si="2"/>
        <v>90</v>
      </c>
      <c r="K79" s="29"/>
      <c r="L79" s="29"/>
      <c r="M79" s="29"/>
      <c r="N79" s="29"/>
      <c r="O79" s="29" t="s">
        <v>51</v>
      </c>
      <c r="P79" s="73">
        <f t="shared" si="3"/>
        <v>12000000</v>
      </c>
      <c r="Q79" s="75" t="s">
        <v>52</v>
      </c>
    </row>
    <row r="80" spans="1:17" x14ac:dyDescent="0.25">
      <c r="A80" s="26" t="s">
        <v>81</v>
      </c>
      <c r="B80" s="60" t="s">
        <v>0</v>
      </c>
      <c r="C80" s="60" t="s">
        <v>20</v>
      </c>
      <c r="D80" s="60" t="s">
        <v>170</v>
      </c>
      <c r="E80" s="60">
        <v>1</v>
      </c>
      <c r="F80" s="60" t="s">
        <v>7</v>
      </c>
      <c r="G80" s="72" t="s">
        <v>11</v>
      </c>
      <c r="H80" s="73">
        <v>4401180</v>
      </c>
      <c r="I80" s="74">
        <v>1</v>
      </c>
      <c r="J80" s="29" t="str">
        <f t="shared" si="2"/>
        <v>12-18</v>
      </c>
      <c r="K80" s="29"/>
      <c r="L80" s="29"/>
      <c r="M80" s="29" t="s">
        <v>134</v>
      </c>
      <c r="N80" s="29"/>
      <c r="O80" s="29" t="s">
        <v>51</v>
      </c>
      <c r="P80" s="73">
        <f t="shared" si="3"/>
        <v>4401180</v>
      </c>
      <c r="Q80" s="75" t="s">
        <v>52</v>
      </c>
    </row>
    <row r="81" spans="1:17" x14ac:dyDescent="0.25">
      <c r="A81" s="26" t="s">
        <v>81</v>
      </c>
      <c r="B81" s="60" t="s">
        <v>0</v>
      </c>
      <c r="C81" s="60" t="s">
        <v>20</v>
      </c>
      <c r="D81" s="60" t="s">
        <v>171</v>
      </c>
      <c r="E81" s="60">
        <v>1</v>
      </c>
      <c r="F81" s="60" t="s">
        <v>7</v>
      </c>
      <c r="G81" s="72" t="s">
        <v>11</v>
      </c>
      <c r="H81" s="73">
        <v>6303360</v>
      </c>
      <c r="I81" s="74">
        <v>1</v>
      </c>
      <c r="J81" s="29" t="str">
        <f t="shared" si="2"/>
        <v>19-35</v>
      </c>
      <c r="K81" s="29"/>
      <c r="L81" s="29"/>
      <c r="M81" s="29" t="s">
        <v>134</v>
      </c>
      <c r="N81" s="29"/>
      <c r="O81" s="29" t="s">
        <v>51</v>
      </c>
      <c r="P81" s="73">
        <f t="shared" si="3"/>
        <v>6303360</v>
      </c>
      <c r="Q81" s="75" t="s">
        <v>52</v>
      </c>
    </row>
    <row r="82" spans="1:17" x14ac:dyDescent="0.25">
      <c r="A82" s="26" t="s">
        <v>81</v>
      </c>
      <c r="B82" s="60" t="s">
        <v>0</v>
      </c>
      <c r="C82" s="60" t="s">
        <v>20</v>
      </c>
      <c r="D82" s="60" t="s">
        <v>172</v>
      </c>
      <c r="E82" s="60">
        <v>1</v>
      </c>
      <c r="F82" s="60" t="s">
        <v>7</v>
      </c>
      <c r="G82" s="72" t="s">
        <v>11</v>
      </c>
      <c r="H82" s="73">
        <v>12449147.083199998</v>
      </c>
      <c r="I82" s="74">
        <v>1</v>
      </c>
      <c r="J82" s="29" t="str">
        <f t="shared" si="2"/>
        <v>36-45</v>
      </c>
      <c r="K82" s="29"/>
      <c r="L82" s="29"/>
      <c r="M82" s="29" t="s">
        <v>134</v>
      </c>
      <c r="N82" s="29"/>
      <c r="O82" s="29" t="s">
        <v>51</v>
      </c>
      <c r="P82" s="73">
        <f t="shared" si="3"/>
        <v>12449147.083199998</v>
      </c>
      <c r="Q82" s="75" t="s">
        <v>52</v>
      </c>
    </row>
    <row r="83" spans="1:17" x14ac:dyDescent="0.25">
      <c r="A83" s="26" t="s">
        <v>81</v>
      </c>
      <c r="B83" s="60" t="s">
        <v>0</v>
      </c>
      <c r="C83" s="60" t="s">
        <v>20</v>
      </c>
      <c r="D83" s="60" t="s">
        <v>173</v>
      </c>
      <c r="E83" s="60">
        <v>1</v>
      </c>
      <c r="F83" s="60" t="s">
        <v>7</v>
      </c>
      <c r="G83" s="72" t="s">
        <v>11</v>
      </c>
      <c r="H83" s="73">
        <v>8001700</v>
      </c>
      <c r="I83" s="74">
        <v>1</v>
      </c>
      <c r="J83" s="29" t="str">
        <f t="shared" si="2"/>
        <v>46-60</v>
      </c>
      <c r="K83" s="29"/>
      <c r="L83" s="29"/>
      <c r="M83" s="29" t="s">
        <v>134</v>
      </c>
      <c r="N83" s="29"/>
      <c r="O83" s="29" t="s">
        <v>51</v>
      </c>
      <c r="P83" s="73">
        <f t="shared" si="3"/>
        <v>8001700</v>
      </c>
      <c r="Q83" s="75" t="s">
        <v>52</v>
      </c>
    </row>
    <row r="84" spans="1:17" x14ac:dyDescent="0.25">
      <c r="A84" s="26" t="s">
        <v>81</v>
      </c>
      <c r="B84" s="60" t="s">
        <v>0</v>
      </c>
      <c r="C84" s="60" t="s">
        <v>20</v>
      </c>
      <c r="D84" s="60" t="s">
        <v>174</v>
      </c>
      <c r="E84" s="60">
        <v>1</v>
      </c>
      <c r="F84" s="60" t="s">
        <v>7</v>
      </c>
      <c r="G84" s="72" t="s">
        <v>11</v>
      </c>
      <c r="H84" s="73">
        <v>8469160</v>
      </c>
      <c r="I84" s="74">
        <v>1</v>
      </c>
      <c r="J84" s="29" t="str">
        <f t="shared" si="2"/>
        <v>90</v>
      </c>
      <c r="K84" s="29"/>
      <c r="L84" s="29"/>
      <c r="M84" s="29" t="s">
        <v>134</v>
      </c>
      <c r="N84" s="29"/>
      <c r="O84" s="29" t="s">
        <v>51</v>
      </c>
      <c r="P84" s="73">
        <f t="shared" si="3"/>
        <v>8469160</v>
      </c>
      <c r="Q84" s="75" t="s">
        <v>52</v>
      </c>
    </row>
    <row r="85" spans="1:17" x14ac:dyDescent="0.25">
      <c r="A85" s="26" t="s">
        <v>81</v>
      </c>
      <c r="B85" s="60" t="s">
        <v>0</v>
      </c>
      <c r="C85" s="60" t="s">
        <v>20</v>
      </c>
      <c r="D85" s="60" t="s">
        <v>175</v>
      </c>
      <c r="E85" s="60">
        <v>2</v>
      </c>
      <c r="F85" s="60" t="s">
        <v>7</v>
      </c>
      <c r="G85" s="72" t="s">
        <v>11</v>
      </c>
      <c r="H85" s="73">
        <v>4401180</v>
      </c>
      <c r="I85" s="74">
        <v>1</v>
      </c>
      <c r="J85" s="29" t="str">
        <f t="shared" si="2"/>
        <v>12-18</v>
      </c>
      <c r="K85" s="29"/>
      <c r="L85" s="29"/>
      <c r="M85" s="29" t="s">
        <v>134</v>
      </c>
      <c r="N85" s="29"/>
      <c r="O85" s="29" t="s">
        <v>51</v>
      </c>
      <c r="P85" s="73">
        <f t="shared" si="3"/>
        <v>4401180</v>
      </c>
      <c r="Q85" s="75" t="s">
        <v>52</v>
      </c>
    </row>
    <row r="86" spans="1:17" x14ac:dyDescent="0.25">
      <c r="A86" s="26" t="s">
        <v>81</v>
      </c>
      <c r="B86" s="60" t="s">
        <v>0</v>
      </c>
      <c r="C86" s="60" t="s">
        <v>20</v>
      </c>
      <c r="D86" s="60" t="s">
        <v>176</v>
      </c>
      <c r="E86" s="60">
        <v>2</v>
      </c>
      <c r="F86" s="60" t="s">
        <v>7</v>
      </c>
      <c r="G86" s="72" t="s">
        <v>11</v>
      </c>
      <c r="H86" s="73">
        <v>11969810.908879999</v>
      </c>
      <c r="I86" s="74">
        <v>1</v>
      </c>
      <c r="J86" s="29" t="str">
        <f t="shared" si="2"/>
        <v>19-35</v>
      </c>
      <c r="K86" s="29"/>
      <c r="L86" s="29"/>
      <c r="M86" s="29" t="s">
        <v>134</v>
      </c>
      <c r="N86" s="29"/>
      <c r="O86" s="29" t="s">
        <v>51</v>
      </c>
      <c r="P86" s="73">
        <f t="shared" si="3"/>
        <v>11969810.908879999</v>
      </c>
      <c r="Q86" s="75" t="s">
        <v>52</v>
      </c>
    </row>
    <row r="87" spans="1:17" x14ac:dyDescent="0.25">
      <c r="A87" s="26" t="s">
        <v>81</v>
      </c>
      <c r="B87" s="60" t="s">
        <v>0</v>
      </c>
      <c r="C87" s="60" t="s">
        <v>20</v>
      </c>
      <c r="D87" s="60" t="s">
        <v>177</v>
      </c>
      <c r="E87" s="60">
        <v>2</v>
      </c>
      <c r="F87" s="60" t="s">
        <v>7</v>
      </c>
      <c r="G87" s="72" t="s">
        <v>11</v>
      </c>
      <c r="H87" s="73">
        <v>7709660</v>
      </c>
      <c r="I87" s="74">
        <v>1</v>
      </c>
      <c r="J87" s="29" t="str">
        <f t="shared" si="2"/>
        <v>36-45</v>
      </c>
      <c r="K87" s="29"/>
      <c r="L87" s="29"/>
      <c r="M87" s="29" t="s">
        <v>134</v>
      </c>
      <c r="N87" s="29"/>
      <c r="O87" s="29" t="s">
        <v>51</v>
      </c>
      <c r="P87" s="73">
        <f t="shared" si="3"/>
        <v>7709660</v>
      </c>
      <c r="Q87" s="75" t="s">
        <v>52</v>
      </c>
    </row>
    <row r="88" spans="1:17" x14ac:dyDescent="0.25">
      <c r="A88" s="26" t="s">
        <v>81</v>
      </c>
      <c r="B88" s="60" t="s">
        <v>0</v>
      </c>
      <c r="C88" s="60" t="s">
        <v>20</v>
      </c>
      <c r="D88" s="60" t="s">
        <v>178</v>
      </c>
      <c r="E88" s="60">
        <v>2</v>
      </c>
      <c r="F88" s="60" t="s">
        <v>7</v>
      </c>
      <c r="G88" s="72" t="s">
        <v>11</v>
      </c>
      <c r="H88" s="73">
        <v>8001700</v>
      </c>
      <c r="I88" s="74">
        <v>1</v>
      </c>
      <c r="J88" s="29" t="str">
        <f t="shared" ref="J88:J136" si="4">+IF(ISNUMBER(FIND("12 - 18",D88)),"12-18",IF(ISNUMBER(FIND("19 - 35",D88)),"19-35",IF(ISNUMBER(FIND("36 - 45",D88)),"36-45",IF(ISNUMBER(FIND("46 - 60",D88)),"46-60",IF(ISNUMBER(FIND("90",D88)),"90","")))))</f>
        <v>46-60</v>
      </c>
      <c r="K88" s="29"/>
      <c r="L88" s="29"/>
      <c r="M88" s="29" t="s">
        <v>134</v>
      </c>
      <c r="N88" s="29"/>
      <c r="O88" s="29" t="s">
        <v>51</v>
      </c>
      <c r="P88" s="73">
        <f t="shared" ref="P88:P136" si="5">+I88*H88</f>
        <v>8001700</v>
      </c>
      <c r="Q88" s="75" t="s">
        <v>52</v>
      </c>
    </row>
    <row r="89" spans="1:17" x14ac:dyDescent="0.25">
      <c r="A89" s="26" t="s">
        <v>81</v>
      </c>
      <c r="B89" s="60" t="s">
        <v>0</v>
      </c>
      <c r="C89" s="60" t="s">
        <v>20</v>
      </c>
      <c r="D89" s="60" t="s">
        <v>179</v>
      </c>
      <c r="E89" s="60">
        <v>2</v>
      </c>
      <c r="F89" s="60" t="s">
        <v>7</v>
      </c>
      <c r="G89" s="72" t="s">
        <v>11</v>
      </c>
      <c r="H89" s="73">
        <v>8469160</v>
      </c>
      <c r="I89" s="74">
        <v>1</v>
      </c>
      <c r="J89" s="29" t="str">
        <f t="shared" si="4"/>
        <v>90</v>
      </c>
      <c r="K89" s="29"/>
      <c r="L89" s="29"/>
      <c r="M89" s="29" t="s">
        <v>134</v>
      </c>
      <c r="N89" s="29"/>
      <c r="O89" s="29" t="s">
        <v>51</v>
      </c>
      <c r="P89" s="73">
        <f t="shared" si="5"/>
        <v>8469160</v>
      </c>
      <c r="Q89" s="75" t="s">
        <v>52</v>
      </c>
    </row>
    <row r="90" spans="1:17" x14ac:dyDescent="0.25">
      <c r="A90" s="26" t="s">
        <v>81</v>
      </c>
      <c r="B90" s="60" t="s">
        <v>0</v>
      </c>
      <c r="C90" s="60" t="s">
        <v>20</v>
      </c>
      <c r="D90" s="60" t="s">
        <v>180</v>
      </c>
      <c r="E90" s="60">
        <v>3</v>
      </c>
      <c r="F90" s="60" t="s">
        <v>7</v>
      </c>
      <c r="G90" s="72" t="s">
        <v>11</v>
      </c>
      <c r="H90" s="73">
        <v>4401180</v>
      </c>
      <c r="I90" s="74">
        <v>1</v>
      </c>
      <c r="J90" s="29" t="str">
        <f t="shared" si="4"/>
        <v>12-18</v>
      </c>
      <c r="K90" s="29"/>
      <c r="L90" s="29"/>
      <c r="M90" s="29" t="s">
        <v>134</v>
      </c>
      <c r="N90" s="29"/>
      <c r="O90" s="29" t="s">
        <v>51</v>
      </c>
      <c r="P90" s="73">
        <f t="shared" si="5"/>
        <v>4401180</v>
      </c>
      <c r="Q90" s="75" t="s">
        <v>52</v>
      </c>
    </row>
    <row r="91" spans="1:17" x14ac:dyDescent="0.25">
      <c r="A91" s="26" t="s">
        <v>81</v>
      </c>
      <c r="B91" s="60" t="s">
        <v>0</v>
      </c>
      <c r="C91" s="60" t="s">
        <v>20</v>
      </c>
      <c r="D91" s="60" t="s">
        <v>181</v>
      </c>
      <c r="E91" s="60">
        <v>3</v>
      </c>
      <c r="F91" s="60" t="s">
        <v>7</v>
      </c>
      <c r="G91" s="72" t="s">
        <v>11</v>
      </c>
      <c r="H91" s="73">
        <v>11969810.908879999</v>
      </c>
      <c r="I91" s="74">
        <v>1</v>
      </c>
      <c r="J91" s="29" t="str">
        <f t="shared" si="4"/>
        <v>19-35</v>
      </c>
      <c r="K91" s="29"/>
      <c r="L91" s="29"/>
      <c r="M91" s="29" t="s">
        <v>134</v>
      </c>
      <c r="N91" s="29"/>
      <c r="O91" s="29" t="s">
        <v>51</v>
      </c>
      <c r="P91" s="73">
        <f t="shared" si="5"/>
        <v>11969810.908879999</v>
      </c>
      <c r="Q91" s="75" t="s">
        <v>52</v>
      </c>
    </row>
    <row r="92" spans="1:17" x14ac:dyDescent="0.25">
      <c r="A92" s="26" t="s">
        <v>81</v>
      </c>
      <c r="B92" s="60" t="s">
        <v>0</v>
      </c>
      <c r="C92" s="60" t="s">
        <v>20</v>
      </c>
      <c r="D92" s="60" t="s">
        <v>182</v>
      </c>
      <c r="E92" s="60">
        <v>3</v>
      </c>
      <c r="F92" s="60" t="s">
        <v>7</v>
      </c>
      <c r="G92" s="72" t="s">
        <v>11</v>
      </c>
      <c r="H92" s="73">
        <v>7709660</v>
      </c>
      <c r="I92" s="74">
        <v>1</v>
      </c>
      <c r="J92" s="29" t="str">
        <f t="shared" si="4"/>
        <v>36-45</v>
      </c>
      <c r="K92" s="29"/>
      <c r="L92" s="29"/>
      <c r="M92" s="29" t="s">
        <v>134</v>
      </c>
      <c r="N92" s="29"/>
      <c r="O92" s="29" t="s">
        <v>51</v>
      </c>
      <c r="P92" s="73">
        <f t="shared" si="5"/>
        <v>7709660</v>
      </c>
      <c r="Q92" s="75" t="s">
        <v>52</v>
      </c>
    </row>
    <row r="93" spans="1:17" x14ac:dyDescent="0.25">
      <c r="A93" s="26" t="s">
        <v>81</v>
      </c>
      <c r="B93" s="60" t="s">
        <v>0</v>
      </c>
      <c r="C93" s="60" t="s">
        <v>20</v>
      </c>
      <c r="D93" s="60" t="s">
        <v>183</v>
      </c>
      <c r="E93" s="60">
        <v>3</v>
      </c>
      <c r="F93" s="60" t="s">
        <v>7</v>
      </c>
      <c r="G93" s="72" t="s">
        <v>11</v>
      </c>
      <c r="H93" s="73">
        <v>8001700</v>
      </c>
      <c r="I93" s="74">
        <v>1</v>
      </c>
      <c r="J93" s="29" t="str">
        <f t="shared" si="4"/>
        <v>46-60</v>
      </c>
      <c r="K93" s="29"/>
      <c r="L93" s="29"/>
      <c r="M93" s="29" t="s">
        <v>134</v>
      </c>
      <c r="N93" s="29"/>
      <c r="O93" s="29" t="s">
        <v>51</v>
      </c>
      <c r="P93" s="73">
        <f t="shared" si="5"/>
        <v>8001700</v>
      </c>
      <c r="Q93" s="75" t="s">
        <v>52</v>
      </c>
    </row>
    <row r="94" spans="1:17" x14ac:dyDescent="0.25">
      <c r="A94" s="26" t="s">
        <v>81</v>
      </c>
      <c r="B94" s="60" t="s">
        <v>0</v>
      </c>
      <c r="C94" s="60" t="s">
        <v>20</v>
      </c>
      <c r="D94" s="60" t="s">
        <v>184</v>
      </c>
      <c r="E94" s="60">
        <v>3</v>
      </c>
      <c r="F94" s="60" t="s">
        <v>7</v>
      </c>
      <c r="G94" s="72" t="s">
        <v>11</v>
      </c>
      <c r="H94" s="73">
        <v>8469160</v>
      </c>
      <c r="I94" s="74">
        <v>1</v>
      </c>
      <c r="J94" s="29" t="str">
        <f t="shared" si="4"/>
        <v>90</v>
      </c>
      <c r="K94" s="29"/>
      <c r="L94" s="29"/>
      <c r="M94" s="29" t="s">
        <v>134</v>
      </c>
      <c r="N94" s="29"/>
      <c r="O94" s="29" t="s">
        <v>51</v>
      </c>
      <c r="P94" s="73">
        <f t="shared" si="5"/>
        <v>8469160</v>
      </c>
      <c r="Q94" s="75" t="s">
        <v>52</v>
      </c>
    </row>
    <row r="95" spans="1:17" x14ac:dyDescent="0.25">
      <c r="A95" s="26" t="s">
        <v>81</v>
      </c>
      <c r="B95" s="60" t="s">
        <v>0</v>
      </c>
      <c r="C95" s="60" t="s">
        <v>21</v>
      </c>
      <c r="D95" s="60" t="s">
        <v>170</v>
      </c>
      <c r="E95" s="60">
        <v>1</v>
      </c>
      <c r="F95" s="60" t="s">
        <v>7</v>
      </c>
      <c r="G95" s="72" t="s">
        <v>11</v>
      </c>
      <c r="H95" s="73">
        <v>6338619.4199999999</v>
      </c>
      <c r="I95" s="74">
        <v>1</v>
      </c>
      <c r="J95" s="29" t="str">
        <f t="shared" si="4"/>
        <v>12-18</v>
      </c>
      <c r="K95" s="29"/>
      <c r="L95" s="29"/>
      <c r="M95" s="29" t="s">
        <v>135</v>
      </c>
      <c r="N95" s="29"/>
      <c r="O95" s="29" t="s">
        <v>51</v>
      </c>
      <c r="P95" s="73">
        <f t="shared" si="5"/>
        <v>6338619.4199999999</v>
      </c>
      <c r="Q95" s="75" t="s">
        <v>52</v>
      </c>
    </row>
    <row r="96" spans="1:17" x14ac:dyDescent="0.25">
      <c r="A96" s="26" t="s">
        <v>81</v>
      </c>
      <c r="B96" s="60" t="s">
        <v>0</v>
      </c>
      <c r="C96" s="60" t="s">
        <v>21</v>
      </c>
      <c r="D96" s="60" t="s">
        <v>171</v>
      </c>
      <c r="E96" s="60">
        <v>1</v>
      </c>
      <c r="F96" s="60" t="s">
        <v>7</v>
      </c>
      <c r="G96" s="72" t="s">
        <v>11</v>
      </c>
      <c r="H96" s="73">
        <v>7108920</v>
      </c>
      <c r="I96" s="74">
        <v>1</v>
      </c>
      <c r="J96" s="29" t="str">
        <f t="shared" si="4"/>
        <v>19-35</v>
      </c>
      <c r="K96" s="29"/>
      <c r="L96" s="29"/>
      <c r="M96" s="29" t="s">
        <v>135</v>
      </c>
      <c r="N96" s="29"/>
      <c r="O96" s="29" t="s">
        <v>51</v>
      </c>
      <c r="P96" s="73">
        <f t="shared" si="5"/>
        <v>7108920</v>
      </c>
      <c r="Q96" s="75" t="s">
        <v>52</v>
      </c>
    </row>
    <row r="97" spans="1:17" x14ac:dyDescent="0.25">
      <c r="A97" s="26" t="s">
        <v>81</v>
      </c>
      <c r="B97" s="60" t="s">
        <v>0</v>
      </c>
      <c r="C97" s="60" t="s">
        <v>21</v>
      </c>
      <c r="D97" s="60" t="s">
        <v>172</v>
      </c>
      <c r="E97" s="60">
        <v>1</v>
      </c>
      <c r="F97" s="60" t="s">
        <v>7</v>
      </c>
      <c r="G97" s="72" t="s">
        <v>11</v>
      </c>
      <c r="H97" s="73">
        <v>7709660</v>
      </c>
      <c r="I97" s="74">
        <v>1</v>
      </c>
      <c r="J97" s="29" t="str">
        <f t="shared" si="4"/>
        <v>36-45</v>
      </c>
      <c r="K97" s="29"/>
      <c r="L97" s="29"/>
      <c r="M97" s="29" t="s">
        <v>135</v>
      </c>
      <c r="N97" s="29"/>
      <c r="O97" s="29" t="s">
        <v>51</v>
      </c>
      <c r="P97" s="73">
        <f t="shared" si="5"/>
        <v>7709660</v>
      </c>
      <c r="Q97" s="75" t="s">
        <v>52</v>
      </c>
    </row>
    <row r="98" spans="1:17" x14ac:dyDescent="0.25">
      <c r="A98" s="26" t="s">
        <v>81</v>
      </c>
      <c r="B98" s="60" t="s">
        <v>0</v>
      </c>
      <c r="C98" s="60" t="s">
        <v>21</v>
      </c>
      <c r="D98" s="60" t="s">
        <v>173</v>
      </c>
      <c r="E98" s="60">
        <v>1</v>
      </c>
      <c r="F98" s="60" t="s">
        <v>7</v>
      </c>
      <c r="G98" s="72" t="s">
        <v>11</v>
      </c>
      <c r="H98" s="73">
        <v>15390347.083199998</v>
      </c>
      <c r="I98" s="74">
        <v>1</v>
      </c>
      <c r="J98" s="29" t="str">
        <f t="shared" si="4"/>
        <v>46-60</v>
      </c>
      <c r="K98" s="29"/>
      <c r="L98" s="29"/>
      <c r="M98" s="29" t="s">
        <v>135</v>
      </c>
      <c r="N98" s="29"/>
      <c r="O98" s="29" t="s">
        <v>51</v>
      </c>
      <c r="P98" s="73">
        <f t="shared" si="5"/>
        <v>15390347.083199998</v>
      </c>
      <c r="Q98" s="75" t="s">
        <v>52</v>
      </c>
    </row>
    <row r="99" spans="1:17" x14ac:dyDescent="0.25">
      <c r="A99" s="26" t="s">
        <v>81</v>
      </c>
      <c r="B99" s="60" t="s">
        <v>0</v>
      </c>
      <c r="C99" s="60" t="s">
        <v>21</v>
      </c>
      <c r="D99" s="60" t="s">
        <v>174</v>
      </c>
      <c r="E99" s="60">
        <v>1</v>
      </c>
      <c r="F99" s="60" t="s">
        <v>7</v>
      </c>
      <c r="G99" s="72" t="s">
        <v>11</v>
      </c>
      <c r="H99" s="73">
        <v>21472647.0832</v>
      </c>
      <c r="I99" s="74">
        <v>1</v>
      </c>
      <c r="J99" s="29" t="str">
        <f t="shared" si="4"/>
        <v>90</v>
      </c>
      <c r="K99" s="29"/>
      <c r="L99" s="29"/>
      <c r="M99" s="29" t="s">
        <v>135</v>
      </c>
      <c r="N99" s="29"/>
      <c r="O99" s="29" t="s">
        <v>51</v>
      </c>
      <c r="P99" s="73">
        <f t="shared" si="5"/>
        <v>21472647.0832</v>
      </c>
      <c r="Q99" s="75" t="s">
        <v>52</v>
      </c>
    </row>
    <row r="100" spans="1:17" x14ac:dyDescent="0.25">
      <c r="A100" s="26" t="s">
        <v>81</v>
      </c>
      <c r="B100" s="60" t="s">
        <v>0</v>
      </c>
      <c r="C100" s="60" t="s">
        <v>21</v>
      </c>
      <c r="D100" s="60" t="s">
        <v>175</v>
      </c>
      <c r="E100" s="60">
        <v>2</v>
      </c>
      <c r="F100" s="60" t="s">
        <v>7</v>
      </c>
      <c r="G100" s="72" t="s">
        <v>11</v>
      </c>
      <c r="H100" s="73">
        <v>6338619.4199999999</v>
      </c>
      <c r="I100" s="74">
        <v>1</v>
      </c>
      <c r="J100" s="29" t="str">
        <f t="shared" si="4"/>
        <v>12-18</v>
      </c>
      <c r="K100" s="29"/>
      <c r="L100" s="29"/>
      <c r="M100" s="29" t="s">
        <v>135</v>
      </c>
      <c r="N100" s="29"/>
      <c r="O100" s="29" t="s">
        <v>51</v>
      </c>
      <c r="P100" s="73">
        <f t="shared" si="5"/>
        <v>6338619.4199999999</v>
      </c>
      <c r="Q100" s="75" t="s">
        <v>52</v>
      </c>
    </row>
    <row r="101" spans="1:17" x14ac:dyDescent="0.25">
      <c r="A101" s="26" t="s">
        <v>81</v>
      </c>
      <c r="B101" s="60" t="s">
        <v>0</v>
      </c>
      <c r="C101" s="60" t="s">
        <v>21</v>
      </c>
      <c r="D101" s="60" t="s">
        <v>176</v>
      </c>
      <c r="E101" s="60">
        <v>2</v>
      </c>
      <c r="F101" s="60" t="s">
        <v>7</v>
      </c>
      <c r="G101" s="72" t="s">
        <v>11</v>
      </c>
      <c r="H101" s="73">
        <v>7108920</v>
      </c>
      <c r="I101" s="74">
        <v>1</v>
      </c>
      <c r="J101" s="29" t="str">
        <f t="shared" si="4"/>
        <v>19-35</v>
      </c>
      <c r="K101" s="29"/>
      <c r="L101" s="29"/>
      <c r="M101" s="29" t="s">
        <v>135</v>
      </c>
      <c r="N101" s="29"/>
      <c r="O101" s="29" t="s">
        <v>51</v>
      </c>
      <c r="P101" s="73">
        <f t="shared" si="5"/>
        <v>7108920</v>
      </c>
      <c r="Q101" s="75" t="s">
        <v>52</v>
      </c>
    </row>
    <row r="102" spans="1:17" x14ac:dyDescent="0.25">
      <c r="A102" s="26" t="s">
        <v>81</v>
      </c>
      <c r="B102" s="60" t="s">
        <v>0</v>
      </c>
      <c r="C102" s="60" t="s">
        <v>21</v>
      </c>
      <c r="D102" s="60" t="s">
        <v>177</v>
      </c>
      <c r="E102" s="60">
        <v>2</v>
      </c>
      <c r="F102" s="60" t="s">
        <v>7</v>
      </c>
      <c r="G102" s="72" t="s">
        <v>11</v>
      </c>
      <c r="H102" s="73">
        <v>7709660</v>
      </c>
      <c r="I102" s="74">
        <v>1</v>
      </c>
      <c r="J102" s="29" t="str">
        <f t="shared" si="4"/>
        <v>36-45</v>
      </c>
      <c r="K102" s="29"/>
      <c r="L102" s="29"/>
      <c r="M102" s="29" t="s">
        <v>135</v>
      </c>
      <c r="N102" s="29"/>
      <c r="O102" s="29" t="s">
        <v>51</v>
      </c>
      <c r="P102" s="73">
        <f t="shared" si="5"/>
        <v>7709660</v>
      </c>
      <c r="Q102" s="75" t="s">
        <v>52</v>
      </c>
    </row>
    <row r="103" spans="1:17" x14ac:dyDescent="0.25">
      <c r="A103" s="26" t="s">
        <v>81</v>
      </c>
      <c r="B103" s="60" t="s">
        <v>0</v>
      </c>
      <c r="C103" s="60" t="s">
        <v>21</v>
      </c>
      <c r="D103" s="60" t="s">
        <v>178</v>
      </c>
      <c r="E103" s="60">
        <v>2</v>
      </c>
      <c r="F103" s="60" t="s">
        <v>7</v>
      </c>
      <c r="G103" s="72" t="s">
        <v>11</v>
      </c>
      <c r="H103" s="73">
        <v>15390347.083199998</v>
      </c>
      <c r="I103" s="74">
        <v>1</v>
      </c>
      <c r="J103" s="29" t="str">
        <f t="shared" si="4"/>
        <v>46-60</v>
      </c>
      <c r="K103" s="29"/>
      <c r="L103" s="29"/>
      <c r="M103" s="29" t="s">
        <v>135</v>
      </c>
      <c r="N103" s="29"/>
      <c r="O103" s="29" t="s">
        <v>51</v>
      </c>
      <c r="P103" s="73">
        <f t="shared" si="5"/>
        <v>15390347.083199998</v>
      </c>
      <c r="Q103" s="75" t="s">
        <v>52</v>
      </c>
    </row>
    <row r="104" spans="1:17" x14ac:dyDescent="0.25">
      <c r="A104" s="26" t="s">
        <v>81</v>
      </c>
      <c r="B104" s="60" t="s">
        <v>0</v>
      </c>
      <c r="C104" s="60" t="s">
        <v>21</v>
      </c>
      <c r="D104" s="60" t="s">
        <v>179</v>
      </c>
      <c r="E104" s="60">
        <v>2</v>
      </c>
      <c r="F104" s="60" t="s">
        <v>7</v>
      </c>
      <c r="G104" s="72" t="s">
        <v>11</v>
      </c>
      <c r="H104" s="73">
        <v>21472647.0832</v>
      </c>
      <c r="I104" s="74">
        <v>1</v>
      </c>
      <c r="J104" s="29" t="str">
        <f t="shared" si="4"/>
        <v>90</v>
      </c>
      <c r="K104" s="29"/>
      <c r="L104" s="29"/>
      <c r="M104" s="29" t="s">
        <v>135</v>
      </c>
      <c r="N104" s="29"/>
      <c r="O104" s="29" t="s">
        <v>51</v>
      </c>
      <c r="P104" s="73">
        <f t="shared" si="5"/>
        <v>21472647.0832</v>
      </c>
      <c r="Q104" s="75" t="s">
        <v>52</v>
      </c>
    </row>
    <row r="105" spans="1:17" x14ac:dyDescent="0.25">
      <c r="A105" s="26" t="s">
        <v>81</v>
      </c>
      <c r="B105" s="60" t="s">
        <v>0</v>
      </c>
      <c r="C105" s="60" t="s">
        <v>21</v>
      </c>
      <c r="D105" s="60" t="s">
        <v>180</v>
      </c>
      <c r="E105" s="60">
        <v>3</v>
      </c>
      <c r="F105" s="60" t="s">
        <v>7</v>
      </c>
      <c r="G105" s="72" t="s">
        <v>11</v>
      </c>
      <c r="H105" s="73">
        <v>6338619.4199999999</v>
      </c>
      <c r="I105" s="74">
        <v>1</v>
      </c>
      <c r="J105" s="29" t="str">
        <f t="shared" si="4"/>
        <v>12-18</v>
      </c>
      <c r="K105" s="29"/>
      <c r="L105" s="29"/>
      <c r="M105" s="29" t="s">
        <v>135</v>
      </c>
      <c r="N105" s="29"/>
      <c r="O105" s="29" t="s">
        <v>51</v>
      </c>
      <c r="P105" s="73">
        <f t="shared" si="5"/>
        <v>6338619.4199999999</v>
      </c>
      <c r="Q105" s="75" t="s">
        <v>52</v>
      </c>
    </row>
    <row r="106" spans="1:17" x14ac:dyDescent="0.25">
      <c r="A106" s="26" t="s">
        <v>81</v>
      </c>
      <c r="B106" s="60" t="s">
        <v>0</v>
      </c>
      <c r="C106" s="60" t="s">
        <v>21</v>
      </c>
      <c r="D106" s="60" t="s">
        <v>181</v>
      </c>
      <c r="E106" s="60">
        <v>3</v>
      </c>
      <c r="F106" s="60" t="s">
        <v>7</v>
      </c>
      <c r="G106" s="72" t="s">
        <v>11</v>
      </c>
      <c r="H106" s="73">
        <v>7108920</v>
      </c>
      <c r="I106" s="74">
        <v>1</v>
      </c>
      <c r="J106" s="29" t="str">
        <f t="shared" si="4"/>
        <v>19-35</v>
      </c>
      <c r="K106" s="29"/>
      <c r="L106" s="29"/>
      <c r="M106" s="29" t="s">
        <v>135</v>
      </c>
      <c r="N106" s="29"/>
      <c r="O106" s="29" t="s">
        <v>51</v>
      </c>
      <c r="P106" s="73">
        <f t="shared" si="5"/>
        <v>7108920</v>
      </c>
      <c r="Q106" s="75" t="s">
        <v>52</v>
      </c>
    </row>
    <row r="107" spans="1:17" x14ac:dyDescent="0.25">
      <c r="A107" s="26" t="s">
        <v>81</v>
      </c>
      <c r="B107" s="60" t="s">
        <v>0</v>
      </c>
      <c r="C107" s="60" t="s">
        <v>21</v>
      </c>
      <c r="D107" s="60" t="s">
        <v>182</v>
      </c>
      <c r="E107" s="60">
        <v>3</v>
      </c>
      <c r="F107" s="60" t="s">
        <v>7</v>
      </c>
      <c r="G107" s="72" t="s">
        <v>11</v>
      </c>
      <c r="H107" s="73">
        <v>7709660</v>
      </c>
      <c r="I107" s="74">
        <v>1</v>
      </c>
      <c r="J107" s="29" t="str">
        <f t="shared" si="4"/>
        <v>36-45</v>
      </c>
      <c r="K107" s="29"/>
      <c r="L107" s="29"/>
      <c r="M107" s="29" t="s">
        <v>135</v>
      </c>
      <c r="N107" s="29"/>
      <c r="O107" s="29" t="s">
        <v>51</v>
      </c>
      <c r="P107" s="73">
        <f t="shared" si="5"/>
        <v>7709660</v>
      </c>
      <c r="Q107" s="75" t="s">
        <v>52</v>
      </c>
    </row>
    <row r="108" spans="1:17" x14ac:dyDescent="0.25">
      <c r="A108" s="26" t="s">
        <v>81</v>
      </c>
      <c r="B108" s="60" t="s">
        <v>0</v>
      </c>
      <c r="C108" s="60" t="s">
        <v>21</v>
      </c>
      <c r="D108" s="60" t="s">
        <v>183</v>
      </c>
      <c r="E108" s="60">
        <v>3</v>
      </c>
      <c r="F108" s="60" t="s">
        <v>7</v>
      </c>
      <c r="G108" s="72" t="s">
        <v>11</v>
      </c>
      <c r="H108" s="73">
        <v>15390347.083199998</v>
      </c>
      <c r="I108" s="74">
        <v>1</v>
      </c>
      <c r="J108" s="29" t="str">
        <f t="shared" si="4"/>
        <v>46-60</v>
      </c>
      <c r="K108" s="29"/>
      <c r="L108" s="29"/>
      <c r="M108" s="29" t="s">
        <v>135</v>
      </c>
      <c r="N108" s="29"/>
      <c r="O108" s="29" t="s">
        <v>51</v>
      </c>
      <c r="P108" s="73">
        <f t="shared" si="5"/>
        <v>15390347.083199998</v>
      </c>
      <c r="Q108" s="75" t="s">
        <v>52</v>
      </c>
    </row>
    <row r="109" spans="1:17" x14ac:dyDescent="0.25">
      <c r="A109" s="26" t="s">
        <v>81</v>
      </c>
      <c r="B109" s="60" t="s">
        <v>0</v>
      </c>
      <c r="C109" s="60" t="s">
        <v>21</v>
      </c>
      <c r="D109" s="60" t="s">
        <v>184</v>
      </c>
      <c r="E109" s="60">
        <v>3</v>
      </c>
      <c r="F109" s="60" t="s">
        <v>7</v>
      </c>
      <c r="G109" s="72" t="s">
        <v>11</v>
      </c>
      <c r="H109" s="73">
        <v>21472647.0832</v>
      </c>
      <c r="I109" s="74">
        <v>1</v>
      </c>
      <c r="J109" s="29" t="str">
        <f t="shared" si="4"/>
        <v>90</v>
      </c>
      <c r="K109" s="29"/>
      <c r="L109" s="29"/>
      <c r="M109" s="29" t="s">
        <v>135</v>
      </c>
      <c r="N109" s="29"/>
      <c r="O109" s="29" t="s">
        <v>51</v>
      </c>
      <c r="P109" s="73">
        <f t="shared" si="5"/>
        <v>21472647.0832</v>
      </c>
      <c r="Q109" s="75" t="s">
        <v>52</v>
      </c>
    </row>
    <row r="110" spans="1:17" x14ac:dyDescent="0.25">
      <c r="A110" s="26" t="s">
        <v>81</v>
      </c>
      <c r="B110" s="60" t="s">
        <v>0</v>
      </c>
      <c r="C110" s="60" t="s">
        <v>22</v>
      </c>
      <c r="D110" s="60" t="s">
        <v>170</v>
      </c>
      <c r="E110" s="60">
        <v>1</v>
      </c>
      <c r="F110" s="60" t="s">
        <v>7</v>
      </c>
      <c r="G110" s="72" t="s">
        <v>11</v>
      </c>
      <c r="H110" s="73">
        <v>2843796.1332</v>
      </c>
      <c r="I110" s="74">
        <v>1</v>
      </c>
      <c r="J110" s="29" t="str">
        <f t="shared" si="4"/>
        <v>12-18</v>
      </c>
      <c r="K110" s="29"/>
      <c r="L110" s="29"/>
      <c r="M110" s="29"/>
      <c r="N110" s="29"/>
      <c r="O110" s="29" t="s">
        <v>51</v>
      </c>
      <c r="P110" s="73">
        <f t="shared" si="5"/>
        <v>2843796.1332</v>
      </c>
      <c r="Q110" s="75" t="s">
        <v>52</v>
      </c>
    </row>
    <row r="111" spans="1:17" x14ac:dyDescent="0.25">
      <c r="A111" s="26" t="s">
        <v>81</v>
      </c>
      <c r="B111" s="60" t="s">
        <v>0</v>
      </c>
      <c r="C111" s="60" t="s">
        <v>22</v>
      </c>
      <c r="D111" s="60" t="s">
        <v>171</v>
      </c>
      <c r="E111" s="60">
        <v>1</v>
      </c>
      <c r="F111" s="60" t="s">
        <v>7</v>
      </c>
      <c r="G111" s="72" t="s">
        <v>11</v>
      </c>
      <c r="H111" s="73">
        <v>2843796.1332</v>
      </c>
      <c r="I111" s="74">
        <v>1</v>
      </c>
      <c r="J111" s="29" t="str">
        <f t="shared" si="4"/>
        <v>19-35</v>
      </c>
      <c r="K111" s="29"/>
      <c r="L111" s="29"/>
      <c r="M111" s="29"/>
      <c r="N111" s="29"/>
      <c r="O111" s="29" t="s">
        <v>51</v>
      </c>
      <c r="P111" s="73">
        <f t="shared" si="5"/>
        <v>2843796.1332</v>
      </c>
      <c r="Q111" s="75" t="s">
        <v>52</v>
      </c>
    </row>
    <row r="112" spans="1:17" x14ac:dyDescent="0.25">
      <c r="A112" s="26" t="s">
        <v>81</v>
      </c>
      <c r="B112" s="60" t="s">
        <v>0</v>
      </c>
      <c r="C112" s="60" t="s">
        <v>22</v>
      </c>
      <c r="D112" s="60" t="s">
        <v>172</v>
      </c>
      <c r="E112" s="60">
        <v>1</v>
      </c>
      <c r="F112" s="60" t="s">
        <v>7</v>
      </c>
      <c r="G112" s="72" t="s">
        <v>11</v>
      </c>
      <c r="H112" s="73">
        <v>2843796.1332</v>
      </c>
      <c r="I112" s="74">
        <v>1</v>
      </c>
      <c r="J112" s="29" t="str">
        <f t="shared" si="4"/>
        <v>36-45</v>
      </c>
      <c r="K112" s="29"/>
      <c r="L112" s="29"/>
      <c r="M112" s="29"/>
      <c r="N112" s="29"/>
      <c r="O112" s="29" t="s">
        <v>51</v>
      </c>
      <c r="P112" s="73">
        <f t="shared" si="5"/>
        <v>2843796.1332</v>
      </c>
      <c r="Q112" s="75" t="s">
        <v>52</v>
      </c>
    </row>
    <row r="113" spans="1:17" x14ac:dyDescent="0.25">
      <c r="A113" s="26" t="s">
        <v>81</v>
      </c>
      <c r="B113" s="60" t="s">
        <v>0</v>
      </c>
      <c r="C113" s="60" t="s">
        <v>22</v>
      </c>
      <c r="D113" s="60" t="s">
        <v>173</v>
      </c>
      <c r="E113" s="60">
        <v>1</v>
      </c>
      <c r="F113" s="60" t="s">
        <v>7</v>
      </c>
      <c r="G113" s="72" t="s">
        <v>11</v>
      </c>
      <c r="H113" s="73">
        <v>2843796.1332</v>
      </c>
      <c r="I113" s="74">
        <v>1</v>
      </c>
      <c r="J113" s="29" t="str">
        <f t="shared" si="4"/>
        <v>46-60</v>
      </c>
      <c r="K113" s="29"/>
      <c r="L113" s="29"/>
      <c r="M113" s="29"/>
      <c r="N113" s="29"/>
      <c r="O113" s="29" t="s">
        <v>51</v>
      </c>
      <c r="P113" s="73">
        <f t="shared" si="5"/>
        <v>2843796.1332</v>
      </c>
      <c r="Q113" s="75" t="s">
        <v>52</v>
      </c>
    </row>
    <row r="114" spans="1:17" x14ac:dyDescent="0.25">
      <c r="A114" s="26" t="s">
        <v>81</v>
      </c>
      <c r="B114" s="60" t="s">
        <v>0</v>
      </c>
      <c r="C114" s="60" t="s">
        <v>22</v>
      </c>
      <c r="D114" s="60" t="s">
        <v>174</v>
      </c>
      <c r="E114" s="60">
        <v>1</v>
      </c>
      <c r="F114" s="60" t="s">
        <v>7</v>
      </c>
      <c r="G114" s="72" t="s">
        <v>11</v>
      </c>
      <c r="H114" s="73">
        <v>2843796.1332</v>
      </c>
      <c r="I114" s="74">
        <v>1</v>
      </c>
      <c r="J114" s="29" t="str">
        <f t="shared" si="4"/>
        <v>90</v>
      </c>
      <c r="K114" s="29"/>
      <c r="L114" s="29"/>
      <c r="M114" s="29"/>
      <c r="N114" s="29"/>
      <c r="O114" s="29" t="s">
        <v>51</v>
      </c>
      <c r="P114" s="73">
        <f t="shared" si="5"/>
        <v>2843796.1332</v>
      </c>
      <c r="Q114" s="75" t="s">
        <v>52</v>
      </c>
    </row>
    <row r="115" spans="1:17" x14ac:dyDescent="0.25">
      <c r="A115" s="26" t="s">
        <v>81</v>
      </c>
      <c r="B115" s="60" t="s">
        <v>0</v>
      </c>
      <c r="C115" s="60" t="s">
        <v>22</v>
      </c>
      <c r="D115" s="60" t="s">
        <v>175</v>
      </c>
      <c r="E115" s="60">
        <v>2</v>
      </c>
      <c r="F115" s="60" t="s">
        <v>7</v>
      </c>
      <c r="G115" s="72" t="s">
        <v>11</v>
      </c>
      <c r="H115" s="73">
        <v>3081959.9588799998</v>
      </c>
      <c r="I115" s="74">
        <v>1</v>
      </c>
      <c r="J115" s="29" t="str">
        <f t="shared" si="4"/>
        <v>12-18</v>
      </c>
      <c r="K115" s="29"/>
      <c r="L115" s="29"/>
      <c r="M115" s="29"/>
      <c r="N115" s="29"/>
      <c r="O115" s="29" t="s">
        <v>51</v>
      </c>
      <c r="P115" s="73">
        <f t="shared" si="5"/>
        <v>3081959.9588799998</v>
      </c>
      <c r="Q115" s="75" t="s">
        <v>52</v>
      </c>
    </row>
    <row r="116" spans="1:17" x14ac:dyDescent="0.25">
      <c r="A116" s="26" t="s">
        <v>81</v>
      </c>
      <c r="B116" s="60" t="s">
        <v>0</v>
      </c>
      <c r="C116" s="60" t="s">
        <v>22</v>
      </c>
      <c r="D116" s="60" t="s">
        <v>176</v>
      </c>
      <c r="E116" s="60">
        <v>2</v>
      </c>
      <c r="F116" s="60" t="s">
        <v>7</v>
      </c>
      <c r="G116" s="72" t="s">
        <v>11</v>
      </c>
      <c r="H116" s="73">
        <v>3081959.9588799998</v>
      </c>
      <c r="I116" s="74">
        <v>1</v>
      </c>
      <c r="J116" s="29" t="str">
        <f t="shared" si="4"/>
        <v>19-35</v>
      </c>
      <c r="K116" s="29"/>
      <c r="L116" s="29"/>
      <c r="M116" s="29"/>
      <c r="N116" s="29"/>
      <c r="O116" s="29" t="s">
        <v>51</v>
      </c>
      <c r="P116" s="73">
        <f t="shared" si="5"/>
        <v>3081959.9588799998</v>
      </c>
      <c r="Q116" s="75" t="s">
        <v>52</v>
      </c>
    </row>
    <row r="117" spans="1:17" x14ac:dyDescent="0.25">
      <c r="A117" s="26" t="s">
        <v>81</v>
      </c>
      <c r="B117" s="60" t="s">
        <v>0</v>
      </c>
      <c r="C117" s="60" t="s">
        <v>22</v>
      </c>
      <c r="D117" s="60" t="s">
        <v>177</v>
      </c>
      <c r="E117" s="60">
        <v>2</v>
      </c>
      <c r="F117" s="60" t="s">
        <v>7</v>
      </c>
      <c r="G117" s="72" t="s">
        <v>11</v>
      </c>
      <c r="H117" s="73">
        <v>3081959.9588799998</v>
      </c>
      <c r="I117" s="74">
        <v>1</v>
      </c>
      <c r="J117" s="29" t="str">
        <f t="shared" si="4"/>
        <v>36-45</v>
      </c>
      <c r="K117" s="29"/>
      <c r="L117" s="29"/>
      <c r="M117" s="29"/>
      <c r="N117" s="29"/>
      <c r="O117" s="29" t="s">
        <v>51</v>
      </c>
      <c r="P117" s="73">
        <f t="shared" si="5"/>
        <v>3081959.9588799998</v>
      </c>
      <c r="Q117" s="75" t="s">
        <v>52</v>
      </c>
    </row>
    <row r="118" spans="1:17" x14ac:dyDescent="0.25">
      <c r="A118" s="26" t="s">
        <v>81</v>
      </c>
      <c r="B118" s="60" t="s">
        <v>0</v>
      </c>
      <c r="C118" s="60" t="s">
        <v>22</v>
      </c>
      <c r="D118" s="60" t="s">
        <v>178</v>
      </c>
      <c r="E118" s="60">
        <v>2</v>
      </c>
      <c r="F118" s="60" t="s">
        <v>7</v>
      </c>
      <c r="G118" s="72" t="s">
        <v>11</v>
      </c>
      <c r="H118" s="73">
        <v>3081959.9588799998</v>
      </c>
      <c r="I118" s="74">
        <v>1</v>
      </c>
      <c r="J118" s="29" t="str">
        <f t="shared" si="4"/>
        <v>46-60</v>
      </c>
      <c r="K118" s="29"/>
      <c r="L118" s="29"/>
      <c r="M118" s="29"/>
      <c r="N118" s="29"/>
      <c r="O118" s="29" t="s">
        <v>51</v>
      </c>
      <c r="P118" s="73">
        <f t="shared" si="5"/>
        <v>3081959.9588799998</v>
      </c>
      <c r="Q118" s="75" t="s">
        <v>52</v>
      </c>
    </row>
    <row r="119" spans="1:17" x14ac:dyDescent="0.25">
      <c r="A119" s="26" t="s">
        <v>81</v>
      </c>
      <c r="B119" s="60" t="s">
        <v>0</v>
      </c>
      <c r="C119" s="60" t="s">
        <v>22</v>
      </c>
      <c r="D119" s="60" t="s">
        <v>179</v>
      </c>
      <c r="E119" s="60">
        <v>2</v>
      </c>
      <c r="F119" s="60" t="s">
        <v>7</v>
      </c>
      <c r="G119" s="72" t="s">
        <v>11</v>
      </c>
      <c r="H119" s="73">
        <v>3081959.9588799998</v>
      </c>
      <c r="I119" s="74">
        <v>1</v>
      </c>
      <c r="J119" s="29" t="str">
        <f t="shared" si="4"/>
        <v>90</v>
      </c>
      <c r="K119" s="29"/>
      <c r="L119" s="29"/>
      <c r="M119" s="29"/>
      <c r="N119" s="29"/>
      <c r="O119" s="29" t="s">
        <v>51</v>
      </c>
      <c r="P119" s="73">
        <f t="shared" si="5"/>
        <v>3081959.9588799998</v>
      </c>
      <c r="Q119" s="75" t="s">
        <v>52</v>
      </c>
    </row>
    <row r="120" spans="1:17" x14ac:dyDescent="0.25">
      <c r="A120" s="26" t="s">
        <v>81</v>
      </c>
      <c r="B120" s="60" t="s">
        <v>0</v>
      </c>
      <c r="C120" s="60" t="s">
        <v>22</v>
      </c>
      <c r="D120" s="60" t="s">
        <v>180</v>
      </c>
      <c r="E120" s="60">
        <v>3</v>
      </c>
      <c r="F120" s="60" t="s">
        <v>7</v>
      </c>
      <c r="G120" s="72" t="s">
        <v>11</v>
      </c>
      <c r="H120" s="73">
        <v>3197619.5</v>
      </c>
      <c r="I120" s="74">
        <v>1</v>
      </c>
      <c r="J120" s="29" t="str">
        <f t="shared" si="4"/>
        <v>12-18</v>
      </c>
      <c r="K120" s="29"/>
      <c r="L120" s="29"/>
      <c r="M120" s="29"/>
      <c r="N120" s="29"/>
      <c r="O120" s="29" t="s">
        <v>51</v>
      </c>
      <c r="P120" s="73">
        <f t="shared" si="5"/>
        <v>3197619.5</v>
      </c>
      <c r="Q120" s="75" t="s">
        <v>52</v>
      </c>
    </row>
    <row r="121" spans="1:17" x14ac:dyDescent="0.25">
      <c r="A121" s="26" t="s">
        <v>81</v>
      </c>
      <c r="B121" s="60" t="s">
        <v>0</v>
      </c>
      <c r="C121" s="60" t="s">
        <v>22</v>
      </c>
      <c r="D121" s="60" t="s">
        <v>181</v>
      </c>
      <c r="E121" s="60">
        <v>3</v>
      </c>
      <c r="F121" s="60" t="s">
        <v>7</v>
      </c>
      <c r="G121" s="72" t="s">
        <v>11</v>
      </c>
      <c r="H121" s="73">
        <v>3197619.5</v>
      </c>
      <c r="I121" s="74">
        <v>1</v>
      </c>
      <c r="J121" s="29" t="str">
        <f t="shared" si="4"/>
        <v>19-35</v>
      </c>
      <c r="K121" s="29"/>
      <c r="L121" s="29"/>
      <c r="M121" s="29"/>
      <c r="N121" s="29"/>
      <c r="O121" s="29" t="s">
        <v>51</v>
      </c>
      <c r="P121" s="73">
        <f t="shared" si="5"/>
        <v>3197619.5</v>
      </c>
      <c r="Q121" s="75" t="s">
        <v>52</v>
      </c>
    </row>
    <row r="122" spans="1:17" x14ac:dyDescent="0.25">
      <c r="A122" s="26" t="s">
        <v>81</v>
      </c>
      <c r="B122" s="60" t="s">
        <v>0</v>
      </c>
      <c r="C122" s="60" t="s">
        <v>22</v>
      </c>
      <c r="D122" s="60" t="s">
        <v>182</v>
      </c>
      <c r="E122" s="60">
        <v>3</v>
      </c>
      <c r="F122" s="60" t="s">
        <v>7</v>
      </c>
      <c r="G122" s="72" t="s">
        <v>11</v>
      </c>
      <c r="H122" s="73">
        <v>3197619.5</v>
      </c>
      <c r="I122" s="74">
        <v>1</v>
      </c>
      <c r="J122" s="29" t="str">
        <f t="shared" si="4"/>
        <v>36-45</v>
      </c>
      <c r="K122" s="29"/>
      <c r="L122" s="29"/>
      <c r="M122" s="29"/>
      <c r="N122" s="29"/>
      <c r="O122" s="29" t="s">
        <v>51</v>
      </c>
      <c r="P122" s="73">
        <f t="shared" si="5"/>
        <v>3197619.5</v>
      </c>
      <c r="Q122" s="75" t="s">
        <v>52</v>
      </c>
    </row>
    <row r="123" spans="1:17" x14ac:dyDescent="0.25">
      <c r="A123" s="26" t="s">
        <v>81</v>
      </c>
      <c r="B123" s="60" t="s">
        <v>0</v>
      </c>
      <c r="C123" s="60" t="s">
        <v>22</v>
      </c>
      <c r="D123" s="60" t="s">
        <v>183</v>
      </c>
      <c r="E123" s="60">
        <v>3</v>
      </c>
      <c r="F123" s="60" t="s">
        <v>7</v>
      </c>
      <c r="G123" s="72" t="s">
        <v>11</v>
      </c>
      <c r="H123" s="73">
        <v>3197619.5</v>
      </c>
      <c r="I123" s="74">
        <v>1</v>
      </c>
      <c r="J123" s="29" t="str">
        <f t="shared" si="4"/>
        <v>46-60</v>
      </c>
      <c r="K123" s="29"/>
      <c r="L123" s="29"/>
      <c r="M123" s="29"/>
      <c r="N123" s="29"/>
      <c r="O123" s="29" t="s">
        <v>51</v>
      </c>
      <c r="P123" s="73">
        <f t="shared" si="5"/>
        <v>3197619.5</v>
      </c>
      <c r="Q123" s="75" t="s">
        <v>52</v>
      </c>
    </row>
    <row r="124" spans="1:17" x14ac:dyDescent="0.25">
      <c r="A124" s="26" t="s">
        <v>81</v>
      </c>
      <c r="B124" s="60" t="s">
        <v>0</v>
      </c>
      <c r="C124" s="60" t="s">
        <v>22</v>
      </c>
      <c r="D124" s="60" t="s">
        <v>184</v>
      </c>
      <c r="E124" s="60">
        <v>3</v>
      </c>
      <c r="F124" s="60" t="s">
        <v>7</v>
      </c>
      <c r="G124" s="72" t="s">
        <v>11</v>
      </c>
      <c r="H124" s="73">
        <v>3197619.5</v>
      </c>
      <c r="I124" s="74">
        <v>1</v>
      </c>
      <c r="J124" s="29" t="str">
        <f t="shared" si="4"/>
        <v>90</v>
      </c>
      <c r="K124" s="29"/>
      <c r="L124" s="29"/>
      <c r="M124" s="29"/>
      <c r="N124" s="29"/>
      <c r="O124" s="29" t="s">
        <v>51</v>
      </c>
      <c r="P124" s="73">
        <f t="shared" si="5"/>
        <v>3197619.5</v>
      </c>
      <c r="Q124" s="75" t="s">
        <v>52</v>
      </c>
    </row>
    <row r="125" spans="1:17" x14ac:dyDescent="0.25">
      <c r="A125" s="26" t="s">
        <v>81</v>
      </c>
      <c r="B125" s="60" t="s">
        <v>0</v>
      </c>
      <c r="C125" s="60" t="s">
        <v>215</v>
      </c>
      <c r="D125" s="60" t="s">
        <v>170</v>
      </c>
      <c r="E125" s="60">
        <v>1</v>
      </c>
      <c r="F125" s="60" t="s">
        <v>7</v>
      </c>
      <c r="G125" s="72" t="s">
        <v>11</v>
      </c>
      <c r="H125" s="73">
        <v>2712170.5974270534</v>
      </c>
      <c r="I125" s="74">
        <v>1</v>
      </c>
      <c r="J125" s="29" t="str">
        <f t="shared" si="4"/>
        <v>12-18</v>
      </c>
      <c r="K125" s="29"/>
      <c r="L125" s="29"/>
      <c r="M125" s="29"/>
      <c r="N125" s="29"/>
      <c r="O125" s="29" t="s">
        <v>51</v>
      </c>
      <c r="P125" s="73">
        <f t="shared" si="5"/>
        <v>2712170.5974270534</v>
      </c>
      <c r="Q125" s="75" t="s">
        <v>52</v>
      </c>
    </row>
    <row r="126" spans="1:17" x14ac:dyDescent="0.25">
      <c r="A126" s="26" t="s">
        <v>81</v>
      </c>
      <c r="B126" s="60" t="s">
        <v>0</v>
      </c>
      <c r="C126" s="60" t="s">
        <v>215</v>
      </c>
      <c r="D126" s="60" t="s">
        <v>171</v>
      </c>
      <c r="E126" s="60">
        <v>1</v>
      </c>
      <c r="F126" s="60" t="s">
        <v>7</v>
      </c>
      <c r="G126" s="72" t="s">
        <v>11</v>
      </c>
      <c r="H126" s="73">
        <v>2712170.5974270534</v>
      </c>
      <c r="I126" s="74">
        <v>1</v>
      </c>
      <c r="J126" s="29" t="str">
        <f t="shared" si="4"/>
        <v>19-35</v>
      </c>
      <c r="K126" s="29"/>
      <c r="L126" s="29"/>
      <c r="M126" s="29"/>
      <c r="N126" s="29"/>
      <c r="O126" s="29" t="s">
        <v>51</v>
      </c>
      <c r="P126" s="73">
        <f t="shared" si="5"/>
        <v>2712170.5974270534</v>
      </c>
      <c r="Q126" s="75" t="s">
        <v>52</v>
      </c>
    </row>
    <row r="127" spans="1:17" x14ac:dyDescent="0.25">
      <c r="A127" s="26" t="s">
        <v>81</v>
      </c>
      <c r="B127" s="60" t="s">
        <v>0</v>
      </c>
      <c r="C127" s="60" t="s">
        <v>215</v>
      </c>
      <c r="D127" s="60" t="s">
        <v>172</v>
      </c>
      <c r="E127" s="60">
        <v>1</v>
      </c>
      <c r="F127" s="60" t="s">
        <v>7</v>
      </c>
      <c r="G127" s="72" t="s">
        <v>11</v>
      </c>
      <c r="H127" s="73">
        <v>3170463.0884838169</v>
      </c>
      <c r="I127" s="74">
        <v>1</v>
      </c>
      <c r="J127" s="29" t="str">
        <f t="shared" si="4"/>
        <v>36-45</v>
      </c>
      <c r="K127" s="29"/>
      <c r="L127" s="29"/>
      <c r="M127" s="29"/>
      <c r="N127" s="29"/>
      <c r="O127" s="29" t="s">
        <v>51</v>
      </c>
      <c r="P127" s="73">
        <f t="shared" si="5"/>
        <v>3170463.0884838169</v>
      </c>
      <c r="Q127" s="75" t="s">
        <v>52</v>
      </c>
    </row>
    <row r="128" spans="1:17" x14ac:dyDescent="0.25">
      <c r="A128" s="26" t="s">
        <v>81</v>
      </c>
      <c r="B128" s="60" t="s">
        <v>0</v>
      </c>
      <c r="C128" s="60" t="s">
        <v>215</v>
      </c>
      <c r="D128" s="60" t="s">
        <v>173</v>
      </c>
      <c r="E128" s="60">
        <v>1</v>
      </c>
      <c r="F128" s="60" t="s">
        <v>7</v>
      </c>
      <c r="G128" s="72" t="s">
        <v>11</v>
      </c>
      <c r="H128" s="73">
        <v>4316194.3161257254</v>
      </c>
      <c r="I128" s="74">
        <v>1</v>
      </c>
      <c r="J128" s="29" t="str">
        <f t="shared" si="4"/>
        <v>46-60</v>
      </c>
      <c r="K128" s="29"/>
      <c r="L128" s="29"/>
      <c r="M128" s="29"/>
      <c r="N128" s="29"/>
      <c r="O128" s="29" t="s">
        <v>51</v>
      </c>
      <c r="P128" s="73">
        <f t="shared" si="5"/>
        <v>4316194.3161257254</v>
      </c>
      <c r="Q128" s="75" t="s">
        <v>52</v>
      </c>
    </row>
    <row r="129" spans="1:17" x14ac:dyDescent="0.25">
      <c r="A129" s="26" t="s">
        <v>81</v>
      </c>
      <c r="B129" s="60" t="s">
        <v>0</v>
      </c>
      <c r="C129" s="60" t="s">
        <v>215</v>
      </c>
      <c r="D129" s="60" t="s">
        <v>174</v>
      </c>
      <c r="E129" s="60">
        <v>1</v>
      </c>
      <c r="F129" s="60" t="s">
        <v>7</v>
      </c>
      <c r="G129" s="72" t="s">
        <v>11</v>
      </c>
      <c r="H129" s="73">
        <v>5461925.5437676338</v>
      </c>
      <c r="I129" s="74">
        <v>1</v>
      </c>
      <c r="J129" s="29" t="str">
        <f t="shared" si="4"/>
        <v>90</v>
      </c>
      <c r="K129" s="29"/>
      <c r="L129" s="29"/>
      <c r="M129" s="29"/>
      <c r="N129" s="29"/>
      <c r="O129" s="29" t="s">
        <v>51</v>
      </c>
      <c r="P129" s="73">
        <f t="shared" si="5"/>
        <v>5461925.5437676338</v>
      </c>
      <c r="Q129" s="75" t="s">
        <v>52</v>
      </c>
    </row>
    <row r="130" spans="1:17" x14ac:dyDescent="0.25">
      <c r="A130" s="26" t="s">
        <v>81</v>
      </c>
      <c r="B130" s="60" t="s">
        <v>0</v>
      </c>
      <c r="C130" s="60" t="s">
        <v>215</v>
      </c>
      <c r="D130" s="60" t="s">
        <v>175</v>
      </c>
      <c r="E130" s="60">
        <v>2</v>
      </c>
      <c r="F130" s="60" t="s">
        <v>7</v>
      </c>
      <c r="G130" s="72" t="s">
        <v>11</v>
      </c>
      <c r="H130" s="73">
        <v>2950334.4231070532</v>
      </c>
      <c r="I130" s="74">
        <v>1</v>
      </c>
      <c r="J130" s="29" t="str">
        <f t="shared" si="4"/>
        <v>12-18</v>
      </c>
      <c r="K130" s="29"/>
      <c r="L130" s="29"/>
      <c r="M130" s="29"/>
      <c r="N130" s="29"/>
      <c r="O130" s="29" t="s">
        <v>51</v>
      </c>
      <c r="P130" s="73">
        <f t="shared" si="5"/>
        <v>2950334.4231070532</v>
      </c>
      <c r="Q130" s="75" t="s">
        <v>52</v>
      </c>
    </row>
    <row r="131" spans="1:17" x14ac:dyDescent="0.25">
      <c r="A131" s="26" t="s">
        <v>81</v>
      </c>
      <c r="B131" s="60" t="s">
        <v>0</v>
      </c>
      <c r="C131" s="60" t="s">
        <v>215</v>
      </c>
      <c r="D131" s="60" t="s">
        <v>176</v>
      </c>
      <c r="E131" s="60">
        <v>2</v>
      </c>
      <c r="F131" s="60" t="s">
        <v>7</v>
      </c>
      <c r="G131" s="72" t="s">
        <v>11</v>
      </c>
      <c r="H131" s="73">
        <v>2950334.4231070532</v>
      </c>
      <c r="I131" s="74">
        <v>1</v>
      </c>
      <c r="J131" s="29" t="str">
        <f t="shared" si="4"/>
        <v>19-35</v>
      </c>
      <c r="K131" s="29"/>
      <c r="L131" s="29"/>
      <c r="M131" s="29"/>
      <c r="N131" s="29"/>
      <c r="O131" s="29" t="s">
        <v>51</v>
      </c>
      <c r="P131" s="73">
        <f t="shared" si="5"/>
        <v>2950334.4231070532</v>
      </c>
      <c r="Q131" s="75" t="s">
        <v>52</v>
      </c>
    </row>
    <row r="132" spans="1:17" x14ac:dyDescent="0.25">
      <c r="A132" s="26" t="s">
        <v>81</v>
      </c>
      <c r="B132" s="60" t="s">
        <v>0</v>
      </c>
      <c r="C132" s="60" t="s">
        <v>215</v>
      </c>
      <c r="D132" s="60" t="s">
        <v>177</v>
      </c>
      <c r="E132" s="60">
        <v>2</v>
      </c>
      <c r="F132" s="60" t="s">
        <v>7</v>
      </c>
      <c r="G132" s="72" t="s">
        <v>11</v>
      </c>
      <c r="H132" s="73">
        <v>3408626.9141638167</v>
      </c>
      <c r="I132" s="74">
        <v>1</v>
      </c>
      <c r="J132" s="29" t="str">
        <f t="shared" si="4"/>
        <v>36-45</v>
      </c>
      <c r="K132" s="29"/>
      <c r="L132" s="29"/>
      <c r="M132" s="29"/>
      <c r="N132" s="29"/>
      <c r="O132" s="29" t="s">
        <v>51</v>
      </c>
      <c r="P132" s="73">
        <f t="shared" si="5"/>
        <v>3408626.9141638167</v>
      </c>
      <c r="Q132" s="75" t="s">
        <v>52</v>
      </c>
    </row>
    <row r="133" spans="1:17" x14ac:dyDescent="0.25">
      <c r="A133" s="26" t="s">
        <v>81</v>
      </c>
      <c r="B133" s="60" t="s">
        <v>0</v>
      </c>
      <c r="C133" s="60" t="s">
        <v>215</v>
      </c>
      <c r="D133" s="60" t="s">
        <v>178</v>
      </c>
      <c r="E133" s="60">
        <v>2</v>
      </c>
      <c r="F133" s="60" t="s">
        <v>7</v>
      </c>
      <c r="G133" s="72" t="s">
        <v>11</v>
      </c>
      <c r="H133" s="73">
        <v>4554358.1418057252</v>
      </c>
      <c r="I133" s="74">
        <v>1</v>
      </c>
      <c r="J133" s="29" t="str">
        <f t="shared" si="4"/>
        <v>46-60</v>
      </c>
      <c r="K133" s="29"/>
      <c r="L133" s="29"/>
      <c r="M133" s="29"/>
      <c r="N133" s="29"/>
      <c r="O133" s="29" t="s">
        <v>51</v>
      </c>
      <c r="P133" s="73">
        <f t="shared" si="5"/>
        <v>4554358.1418057252</v>
      </c>
      <c r="Q133" s="75" t="s">
        <v>52</v>
      </c>
    </row>
    <row r="134" spans="1:17" x14ac:dyDescent="0.25">
      <c r="A134" s="26" t="s">
        <v>81</v>
      </c>
      <c r="B134" s="60" t="s">
        <v>0</v>
      </c>
      <c r="C134" s="60" t="s">
        <v>215</v>
      </c>
      <c r="D134" s="60" t="s">
        <v>179</v>
      </c>
      <c r="E134" s="60">
        <v>2</v>
      </c>
      <c r="F134" s="60" t="s">
        <v>7</v>
      </c>
      <c r="G134" s="72" t="s">
        <v>11</v>
      </c>
      <c r="H134" s="73">
        <v>5700089.3694476336</v>
      </c>
      <c r="I134" s="74">
        <v>1</v>
      </c>
      <c r="J134" s="29" t="str">
        <f t="shared" si="4"/>
        <v>90</v>
      </c>
      <c r="K134" s="29"/>
      <c r="L134" s="29"/>
      <c r="M134" s="29"/>
      <c r="N134" s="29"/>
      <c r="O134" s="29" t="s">
        <v>51</v>
      </c>
      <c r="P134" s="73">
        <f t="shared" si="5"/>
        <v>5700089.3694476336</v>
      </c>
      <c r="Q134" s="75" t="s">
        <v>52</v>
      </c>
    </row>
    <row r="135" spans="1:17" x14ac:dyDescent="0.25">
      <c r="A135" s="26" t="s">
        <v>81</v>
      </c>
      <c r="B135" s="60" t="s">
        <v>0</v>
      </c>
      <c r="C135" s="60" t="s">
        <v>215</v>
      </c>
      <c r="D135" s="60" t="s">
        <v>180</v>
      </c>
      <c r="E135" s="60">
        <v>3</v>
      </c>
      <c r="F135" s="60" t="s">
        <v>7</v>
      </c>
      <c r="G135" s="72" t="s">
        <v>11</v>
      </c>
      <c r="H135" s="73">
        <v>3065993.9642270533</v>
      </c>
      <c r="I135" s="74">
        <v>1</v>
      </c>
      <c r="J135" s="29" t="str">
        <f t="shared" si="4"/>
        <v>12-18</v>
      </c>
      <c r="K135" s="29"/>
      <c r="L135" s="29"/>
      <c r="M135" s="29"/>
      <c r="N135" s="29"/>
      <c r="O135" s="29" t="s">
        <v>51</v>
      </c>
      <c r="P135" s="73">
        <f t="shared" si="5"/>
        <v>3065993.9642270533</v>
      </c>
      <c r="Q135" s="75" t="s">
        <v>52</v>
      </c>
    </row>
    <row r="136" spans="1:17" x14ac:dyDescent="0.25">
      <c r="A136" s="26" t="s">
        <v>81</v>
      </c>
      <c r="B136" s="60" t="s">
        <v>0</v>
      </c>
      <c r="C136" s="60" t="s">
        <v>215</v>
      </c>
      <c r="D136" s="60" t="s">
        <v>181</v>
      </c>
      <c r="E136" s="60">
        <v>3</v>
      </c>
      <c r="F136" s="60" t="s">
        <v>7</v>
      </c>
      <c r="G136" s="72" t="s">
        <v>11</v>
      </c>
      <c r="H136" s="73">
        <v>3065993.9642270533</v>
      </c>
      <c r="I136" s="74">
        <v>1</v>
      </c>
      <c r="J136" s="29" t="str">
        <f t="shared" si="4"/>
        <v>19-35</v>
      </c>
      <c r="K136" s="29"/>
      <c r="L136" s="29"/>
      <c r="M136" s="29"/>
      <c r="N136" s="29"/>
      <c r="O136" s="29" t="s">
        <v>51</v>
      </c>
      <c r="P136" s="73">
        <f t="shared" si="5"/>
        <v>3065993.9642270533</v>
      </c>
      <c r="Q136" s="75" t="s">
        <v>52</v>
      </c>
    </row>
    <row r="137" spans="1:17" x14ac:dyDescent="0.25">
      <c r="A137" s="26" t="s">
        <v>81</v>
      </c>
      <c r="B137" s="60" t="s">
        <v>0</v>
      </c>
      <c r="C137" s="60" t="s">
        <v>215</v>
      </c>
      <c r="D137" s="60" t="s">
        <v>182</v>
      </c>
      <c r="E137" s="60">
        <v>3</v>
      </c>
      <c r="F137" s="60" t="s">
        <v>7</v>
      </c>
      <c r="G137" s="72" t="s">
        <v>11</v>
      </c>
      <c r="H137" s="73">
        <v>3524286.4552838169</v>
      </c>
      <c r="I137" s="74">
        <v>1</v>
      </c>
      <c r="J137" s="29" t="str">
        <f t="shared" ref="J137:J154" si="6">+IF(ISNUMBER(FIND("12 - 18",D137)),"12-18",IF(ISNUMBER(FIND("19 - 35",D137)),"19-35",IF(ISNUMBER(FIND("36 - 45",D137)),"36-45",IF(ISNUMBER(FIND("46 - 60",D137)),"46-60",IF(ISNUMBER(FIND("90",D137)),"90","")))))</f>
        <v>36-45</v>
      </c>
      <c r="K137" s="29"/>
      <c r="L137" s="29"/>
      <c r="M137" s="29"/>
      <c r="N137" s="29"/>
      <c r="O137" s="29" t="s">
        <v>51</v>
      </c>
      <c r="P137" s="73">
        <f t="shared" ref="P137:P154" si="7">+I137*H137</f>
        <v>3524286.4552838169</v>
      </c>
      <c r="Q137" s="75" t="s">
        <v>52</v>
      </c>
    </row>
    <row r="138" spans="1:17" x14ac:dyDescent="0.25">
      <c r="A138" s="26" t="s">
        <v>81</v>
      </c>
      <c r="B138" s="60" t="s">
        <v>0</v>
      </c>
      <c r="C138" s="60" t="s">
        <v>215</v>
      </c>
      <c r="D138" s="60" t="s">
        <v>183</v>
      </c>
      <c r="E138" s="60">
        <v>3</v>
      </c>
      <c r="F138" s="60" t="s">
        <v>7</v>
      </c>
      <c r="G138" s="72" t="s">
        <v>11</v>
      </c>
      <c r="H138" s="73">
        <v>4670017.6829257254</v>
      </c>
      <c r="I138" s="74">
        <v>1</v>
      </c>
      <c r="J138" s="29" t="str">
        <f t="shared" si="6"/>
        <v>46-60</v>
      </c>
      <c r="K138" s="29"/>
      <c r="L138" s="29"/>
      <c r="M138" s="29"/>
      <c r="N138" s="29"/>
      <c r="O138" s="29" t="s">
        <v>51</v>
      </c>
      <c r="P138" s="73">
        <f t="shared" si="7"/>
        <v>4670017.6829257254</v>
      </c>
      <c r="Q138" s="75" t="s">
        <v>52</v>
      </c>
    </row>
    <row r="139" spans="1:17" x14ac:dyDescent="0.25">
      <c r="A139" s="26" t="s">
        <v>81</v>
      </c>
      <c r="B139" s="60" t="s">
        <v>0</v>
      </c>
      <c r="C139" s="60" t="s">
        <v>215</v>
      </c>
      <c r="D139" s="60" t="s">
        <v>184</v>
      </c>
      <c r="E139" s="60">
        <v>3</v>
      </c>
      <c r="F139" s="60" t="s">
        <v>7</v>
      </c>
      <c r="G139" s="72" t="s">
        <v>11</v>
      </c>
      <c r="H139" s="73">
        <v>5815748.9105676338</v>
      </c>
      <c r="I139" s="74">
        <v>1</v>
      </c>
      <c r="J139" s="29" t="str">
        <f t="shared" si="6"/>
        <v>90</v>
      </c>
      <c r="K139" s="29"/>
      <c r="L139" s="29"/>
      <c r="M139" s="29"/>
      <c r="N139" s="29"/>
      <c r="O139" s="29" t="s">
        <v>51</v>
      </c>
      <c r="P139" s="73">
        <f t="shared" si="7"/>
        <v>5815748.9105676338</v>
      </c>
      <c r="Q139" s="75" t="s">
        <v>52</v>
      </c>
    </row>
    <row r="140" spans="1:17" x14ac:dyDescent="0.25">
      <c r="A140" s="26" t="s">
        <v>81</v>
      </c>
      <c r="B140" s="60" t="s">
        <v>0</v>
      </c>
      <c r="C140" s="60" t="s">
        <v>4</v>
      </c>
      <c r="D140" s="60" t="s">
        <v>170</v>
      </c>
      <c r="E140" s="60">
        <v>1</v>
      </c>
      <c r="F140" s="60" t="s">
        <v>7</v>
      </c>
      <c r="G140" s="72" t="s">
        <v>83</v>
      </c>
      <c r="H140" s="73">
        <v>7067789.5</v>
      </c>
      <c r="I140" s="74">
        <v>1</v>
      </c>
      <c r="J140" s="29" t="str">
        <f t="shared" si="6"/>
        <v>12-18</v>
      </c>
      <c r="K140" s="29"/>
      <c r="L140" s="29"/>
      <c r="M140" s="29"/>
      <c r="N140" s="29"/>
      <c r="O140" s="29" t="s">
        <v>51</v>
      </c>
      <c r="P140" s="73">
        <f t="shared" si="7"/>
        <v>7067789.5</v>
      </c>
      <c r="Q140" s="75" t="s">
        <v>52</v>
      </c>
    </row>
    <row r="141" spans="1:17" x14ac:dyDescent="0.25">
      <c r="A141" s="26" t="s">
        <v>81</v>
      </c>
      <c r="B141" s="60" t="s">
        <v>0</v>
      </c>
      <c r="C141" s="60" t="s">
        <v>4</v>
      </c>
      <c r="D141" s="60" t="s">
        <v>171</v>
      </c>
      <c r="E141" s="60">
        <v>1</v>
      </c>
      <c r="F141" s="60" t="s">
        <v>7</v>
      </c>
      <c r="G141" s="72" t="s">
        <v>83</v>
      </c>
      <c r="H141" s="73">
        <v>7067789.5</v>
      </c>
      <c r="I141" s="74">
        <v>1</v>
      </c>
      <c r="J141" s="29" t="str">
        <f t="shared" si="6"/>
        <v>19-35</v>
      </c>
      <c r="K141" s="29"/>
      <c r="L141" s="29"/>
      <c r="M141" s="29"/>
      <c r="N141" s="29"/>
      <c r="O141" s="29" t="s">
        <v>51</v>
      </c>
      <c r="P141" s="73">
        <f t="shared" si="7"/>
        <v>7067789.5</v>
      </c>
      <c r="Q141" s="75" t="s">
        <v>52</v>
      </c>
    </row>
    <row r="142" spans="1:17" x14ac:dyDescent="0.25">
      <c r="A142" s="26" t="s">
        <v>81</v>
      </c>
      <c r="B142" s="60" t="s">
        <v>0</v>
      </c>
      <c r="C142" s="60" t="s">
        <v>4</v>
      </c>
      <c r="D142" s="60" t="s">
        <v>172</v>
      </c>
      <c r="E142" s="60">
        <v>1</v>
      </c>
      <c r="F142" s="60" t="s">
        <v>7</v>
      </c>
      <c r="G142" s="72" t="s">
        <v>83</v>
      </c>
      <c r="H142" s="73">
        <v>7067789.5</v>
      </c>
      <c r="I142" s="74">
        <v>1</v>
      </c>
      <c r="J142" s="29" t="str">
        <f t="shared" si="6"/>
        <v>36-45</v>
      </c>
      <c r="K142" s="29"/>
      <c r="L142" s="29"/>
      <c r="M142" s="29"/>
      <c r="N142" s="29"/>
      <c r="O142" s="29" t="s">
        <v>51</v>
      </c>
      <c r="P142" s="73">
        <f t="shared" si="7"/>
        <v>7067789.5</v>
      </c>
      <c r="Q142" s="75" t="s">
        <v>52</v>
      </c>
    </row>
    <row r="143" spans="1:17" x14ac:dyDescent="0.25">
      <c r="A143" s="26" t="s">
        <v>81</v>
      </c>
      <c r="B143" s="60" t="s">
        <v>0</v>
      </c>
      <c r="C143" s="60" t="s">
        <v>4</v>
      </c>
      <c r="D143" s="60" t="s">
        <v>173</v>
      </c>
      <c r="E143" s="60">
        <v>1</v>
      </c>
      <c r="F143" s="60" t="s">
        <v>7</v>
      </c>
      <c r="G143" s="72" t="s">
        <v>83</v>
      </c>
      <c r="H143" s="73">
        <v>7067789.5</v>
      </c>
      <c r="I143" s="74">
        <v>1</v>
      </c>
      <c r="J143" s="29" t="str">
        <f t="shared" si="6"/>
        <v>46-60</v>
      </c>
      <c r="K143" s="29"/>
      <c r="L143" s="29"/>
      <c r="M143" s="29"/>
      <c r="N143" s="29"/>
      <c r="O143" s="29" t="s">
        <v>51</v>
      </c>
      <c r="P143" s="73">
        <f t="shared" si="7"/>
        <v>7067789.5</v>
      </c>
      <c r="Q143" s="75" t="s">
        <v>52</v>
      </c>
    </row>
    <row r="144" spans="1:17" x14ac:dyDescent="0.25">
      <c r="A144" s="26" t="s">
        <v>81</v>
      </c>
      <c r="B144" s="60" t="s">
        <v>0</v>
      </c>
      <c r="C144" s="60" t="s">
        <v>4</v>
      </c>
      <c r="D144" s="60" t="s">
        <v>174</v>
      </c>
      <c r="E144" s="60">
        <v>1</v>
      </c>
      <c r="F144" s="60" t="s">
        <v>7</v>
      </c>
      <c r="G144" s="72" t="s">
        <v>83</v>
      </c>
      <c r="H144" s="73">
        <v>7067789.5</v>
      </c>
      <c r="I144" s="74">
        <v>1</v>
      </c>
      <c r="J144" s="29" t="str">
        <f t="shared" si="6"/>
        <v>90</v>
      </c>
      <c r="K144" s="29"/>
      <c r="L144" s="29"/>
      <c r="M144" s="29"/>
      <c r="N144" s="29"/>
      <c r="O144" s="29" t="s">
        <v>51</v>
      </c>
      <c r="P144" s="73">
        <f t="shared" si="7"/>
        <v>7067789.5</v>
      </c>
      <c r="Q144" s="75" t="s">
        <v>52</v>
      </c>
    </row>
    <row r="145" spans="1:22" x14ac:dyDescent="0.25">
      <c r="A145" s="26" t="s">
        <v>81</v>
      </c>
      <c r="B145" s="60" t="s">
        <v>0</v>
      </c>
      <c r="C145" s="60" t="s">
        <v>4</v>
      </c>
      <c r="D145" s="60" t="s">
        <v>175</v>
      </c>
      <c r="E145" s="60">
        <v>2</v>
      </c>
      <c r="F145" s="60" t="s">
        <v>7</v>
      </c>
      <c r="G145" s="72" t="s">
        <v>83</v>
      </c>
      <c r="H145" s="73">
        <v>7805300</v>
      </c>
      <c r="I145" s="74">
        <v>1</v>
      </c>
      <c r="J145" s="29" t="str">
        <f t="shared" si="6"/>
        <v>12-18</v>
      </c>
      <c r="K145" s="29"/>
      <c r="L145" s="29"/>
      <c r="M145" s="29"/>
      <c r="N145" s="29"/>
      <c r="O145" s="29" t="s">
        <v>51</v>
      </c>
      <c r="P145" s="73">
        <f t="shared" si="7"/>
        <v>7805300</v>
      </c>
      <c r="Q145" s="75" t="s">
        <v>52</v>
      </c>
    </row>
    <row r="146" spans="1:22" x14ac:dyDescent="0.25">
      <c r="A146" s="26" t="s">
        <v>81</v>
      </c>
      <c r="B146" s="60" t="s">
        <v>0</v>
      </c>
      <c r="C146" s="60" t="s">
        <v>4</v>
      </c>
      <c r="D146" s="60" t="s">
        <v>176</v>
      </c>
      <c r="E146" s="60">
        <v>2</v>
      </c>
      <c r="F146" s="60" t="s">
        <v>7</v>
      </c>
      <c r="G146" s="72" t="s">
        <v>83</v>
      </c>
      <c r="H146" s="73">
        <v>7805300</v>
      </c>
      <c r="I146" s="74">
        <v>1</v>
      </c>
      <c r="J146" s="29" t="str">
        <f t="shared" si="6"/>
        <v>19-35</v>
      </c>
      <c r="K146" s="29"/>
      <c r="L146" s="29"/>
      <c r="M146" s="29"/>
      <c r="N146" s="29"/>
      <c r="O146" s="29" t="s">
        <v>51</v>
      </c>
      <c r="P146" s="73">
        <f t="shared" si="7"/>
        <v>7805300</v>
      </c>
      <c r="Q146" s="75" t="s">
        <v>52</v>
      </c>
    </row>
    <row r="147" spans="1:22" x14ac:dyDescent="0.25">
      <c r="A147" s="26" t="s">
        <v>81</v>
      </c>
      <c r="B147" s="60" t="s">
        <v>0</v>
      </c>
      <c r="C147" s="60" t="s">
        <v>4</v>
      </c>
      <c r="D147" s="60" t="s">
        <v>177</v>
      </c>
      <c r="E147" s="60">
        <v>2</v>
      </c>
      <c r="F147" s="60" t="s">
        <v>7</v>
      </c>
      <c r="G147" s="72" t="s">
        <v>83</v>
      </c>
      <c r="H147" s="73">
        <v>7805300</v>
      </c>
      <c r="I147" s="74">
        <v>1</v>
      </c>
      <c r="J147" s="29" t="str">
        <f t="shared" si="6"/>
        <v>36-45</v>
      </c>
      <c r="K147" s="29"/>
      <c r="L147" s="29"/>
      <c r="M147" s="29"/>
      <c r="N147" s="29"/>
      <c r="O147" s="29" t="s">
        <v>51</v>
      </c>
      <c r="P147" s="73">
        <f t="shared" si="7"/>
        <v>7805300</v>
      </c>
      <c r="Q147" s="75" t="s">
        <v>52</v>
      </c>
    </row>
    <row r="148" spans="1:22" x14ac:dyDescent="0.25">
      <c r="A148" s="26" t="s">
        <v>81</v>
      </c>
      <c r="B148" s="60" t="s">
        <v>0</v>
      </c>
      <c r="C148" s="60" t="s">
        <v>4</v>
      </c>
      <c r="D148" s="60" t="s">
        <v>178</v>
      </c>
      <c r="E148" s="60">
        <v>2</v>
      </c>
      <c r="F148" s="60" t="s">
        <v>7</v>
      </c>
      <c r="G148" s="72" t="s">
        <v>83</v>
      </c>
      <c r="H148" s="73">
        <v>7805300</v>
      </c>
      <c r="I148" s="74">
        <v>1</v>
      </c>
      <c r="J148" s="29" t="str">
        <f t="shared" si="6"/>
        <v>46-60</v>
      </c>
      <c r="K148" s="29"/>
      <c r="L148" s="29"/>
      <c r="M148" s="29"/>
      <c r="N148" s="29"/>
      <c r="O148" s="29" t="s">
        <v>51</v>
      </c>
      <c r="P148" s="73">
        <f t="shared" si="7"/>
        <v>7805300</v>
      </c>
      <c r="Q148" s="75" t="s">
        <v>52</v>
      </c>
    </row>
    <row r="149" spans="1:22" x14ac:dyDescent="0.25">
      <c r="A149" s="26" t="s">
        <v>81</v>
      </c>
      <c r="B149" s="60" t="s">
        <v>0</v>
      </c>
      <c r="C149" s="60" t="s">
        <v>4</v>
      </c>
      <c r="D149" s="60" t="s">
        <v>179</v>
      </c>
      <c r="E149" s="60">
        <v>2</v>
      </c>
      <c r="F149" s="60" t="s">
        <v>7</v>
      </c>
      <c r="G149" s="72" t="s">
        <v>83</v>
      </c>
      <c r="H149" s="73">
        <v>7805300</v>
      </c>
      <c r="I149" s="74">
        <v>1</v>
      </c>
      <c r="J149" s="29" t="str">
        <f t="shared" si="6"/>
        <v>90</v>
      </c>
      <c r="K149" s="29"/>
      <c r="L149" s="29"/>
      <c r="M149" s="29"/>
      <c r="N149" s="29"/>
      <c r="O149" s="29" t="s">
        <v>51</v>
      </c>
      <c r="P149" s="73">
        <f t="shared" si="7"/>
        <v>7805300</v>
      </c>
      <c r="Q149" s="75" t="s">
        <v>52</v>
      </c>
    </row>
    <row r="150" spans="1:22" x14ac:dyDescent="0.25">
      <c r="A150" s="26" t="s">
        <v>81</v>
      </c>
      <c r="B150" s="60" t="s">
        <v>0</v>
      </c>
      <c r="C150" s="60" t="s">
        <v>4</v>
      </c>
      <c r="D150" s="60" t="s">
        <v>180</v>
      </c>
      <c r="E150" s="60">
        <v>3</v>
      </c>
      <c r="F150" s="60" t="s">
        <v>7</v>
      </c>
      <c r="G150" s="72" t="s">
        <v>83</v>
      </c>
      <c r="H150" s="73">
        <v>9582636.5</v>
      </c>
      <c r="I150" s="74">
        <v>1</v>
      </c>
      <c r="J150" s="29" t="str">
        <f t="shared" si="6"/>
        <v>12-18</v>
      </c>
      <c r="K150" s="29"/>
      <c r="L150" s="29"/>
      <c r="M150" s="29"/>
      <c r="N150" s="29"/>
      <c r="O150" s="29" t="s">
        <v>51</v>
      </c>
      <c r="P150" s="73">
        <f t="shared" si="7"/>
        <v>9582636.5</v>
      </c>
      <c r="Q150" s="75" t="s">
        <v>52</v>
      </c>
    </row>
    <row r="151" spans="1:22" x14ac:dyDescent="0.25">
      <c r="A151" s="26" t="s">
        <v>81</v>
      </c>
      <c r="B151" s="60" t="s">
        <v>0</v>
      </c>
      <c r="C151" s="60" t="s">
        <v>4</v>
      </c>
      <c r="D151" s="60" t="s">
        <v>181</v>
      </c>
      <c r="E151" s="60">
        <v>3</v>
      </c>
      <c r="F151" s="60" t="s">
        <v>7</v>
      </c>
      <c r="G151" s="72" t="s">
        <v>83</v>
      </c>
      <c r="H151" s="73">
        <v>9582636.5</v>
      </c>
      <c r="I151" s="74">
        <v>1</v>
      </c>
      <c r="J151" s="29" t="str">
        <f t="shared" si="6"/>
        <v>19-35</v>
      </c>
      <c r="K151" s="29"/>
      <c r="L151" s="29"/>
      <c r="M151" s="29"/>
      <c r="N151" s="29"/>
      <c r="O151" s="29" t="s">
        <v>51</v>
      </c>
      <c r="P151" s="73">
        <f t="shared" si="7"/>
        <v>9582636.5</v>
      </c>
      <c r="Q151" s="75" t="s">
        <v>52</v>
      </c>
    </row>
    <row r="152" spans="1:22" x14ac:dyDescent="0.25">
      <c r="A152" s="26" t="s">
        <v>81</v>
      </c>
      <c r="B152" s="60" t="s">
        <v>0</v>
      </c>
      <c r="C152" s="60" t="s">
        <v>4</v>
      </c>
      <c r="D152" s="60" t="s">
        <v>182</v>
      </c>
      <c r="E152" s="60">
        <v>3</v>
      </c>
      <c r="F152" s="60" t="s">
        <v>7</v>
      </c>
      <c r="G152" s="72" t="s">
        <v>83</v>
      </c>
      <c r="H152" s="73">
        <v>9582636.5</v>
      </c>
      <c r="I152" s="74">
        <v>1</v>
      </c>
      <c r="J152" s="29" t="str">
        <f t="shared" si="6"/>
        <v>36-45</v>
      </c>
      <c r="K152" s="29"/>
      <c r="L152" s="29"/>
      <c r="M152" s="29"/>
      <c r="N152" s="29"/>
      <c r="O152" s="29" t="s">
        <v>51</v>
      </c>
      <c r="P152" s="73">
        <f t="shared" si="7"/>
        <v>9582636.5</v>
      </c>
      <c r="Q152" s="75" t="s">
        <v>52</v>
      </c>
    </row>
    <row r="153" spans="1:22" x14ac:dyDescent="0.25">
      <c r="A153" s="26" t="s">
        <v>81</v>
      </c>
      <c r="B153" s="60" t="s">
        <v>0</v>
      </c>
      <c r="C153" s="60" t="s">
        <v>4</v>
      </c>
      <c r="D153" s="60" t="s">
        <v>183</v>
      </c>
      <c r="E153" s="60">
        <v>3</v>
      </c>
      <c r="F153" s="60" t="s">
        <v>7</v>
      </c>
      <c r="G153" s="72" t="s">
        <v>83</v>
      </c>
      <c r="H153" s="73">
        <v>9582636.5</v>
      </c>
      <c r="I153" s="74">
        <v>1</v>
      </c>
      <c r="J153" s="29" t="str">
        <f t="shared" si="6"/>
        <v>46-60</v>
      </c>
      <c r="K153" s="29"/>
      <c r="L153" s="29"/>
      <c r="M153" s="29"/>
      <c r="N153" s="29"/>
      <c r="O153" s="29" t="s">
        <v>51</v>
      </c>
      <c r="P153" s="73">
        <f t="shared" si="7"/>
        <v>9582636.5</v>
      </c>
      <c r="Q153" s="75" t="s">
        <v>52</v>
      </c>
    </row>
    <row r="154" spans="1:22" x14ac:dyDescent="0.25">
      <c r="A154" s="26" t="s">
        <v>81</v>
      </c>
      <c r="B154" s="60" t="s">
        <v>0</v>
      </c>
      <c r="C154" s="60" t="s">
        <v>4</v>
      </c>
      <c r="D154" s="60" t="s">
        <v>184</v>
      </c>
      <c r="E154" s="60">
        <v>3</v>
      </c>
      <c r="F154" s="60" t="s">
        <v>7</v>
      </c>
      <c r="G154" s="72" t="s">
        <v>83</v>
      </c>
      <c r="H154" s="73">
        <v>9582636.5</v>
      </c>
      <c r="I154" s="74">
        <v>1</v>
      </c>
      <c r="J154" s="29" t="str">
        <f t="shared" si="6"/>
        <v>90</v>
      </c>
      <c r="K154" s="29"/>
      <c r="L154" s="29"/>
      <c r="M154" s="29"/>
      <c r="N154" s="29"/>
      <c r="O154" s="29" t="s">
        <v>51</v>
      </c>
      <c r="P154" s="73">
        <f t="shared" si="7"/>
        <v>9582636.5</v>
      </c>
      <c r="Q154" s="75" t="s">
        <v>52</v>
      </c>
    </row>
    <row r="155" spans="1:22" s="33" customFormat="1" x14ac:dyDescent="0.25">
      <c r="A155" s="26" t="s">
        <v>81</v>
      </c>
      <c r="B155" s="60" t="s">
        <v>13</v>
      </c>
      <c r="C155" s="60" t="s">
        <v>85</v>
      </c>
      <c r="D155" s="60" t="s">
        <v>185</v>
      </c>
      <c r="E155" s="60">
        <v>1</v>
      </c>
      <c r="F155" s="60" t="s">
        <v>1</v>
      </c>
      <c r="G155" s="72" t="s">
        <v>12</v>
      </c>
      <c r="H155" s="73">
        <v>7970590.2786666667</v>
      </c>
      <c r="I155" s="74">
        <v>1</v>
      </c>
      <c r="J155" s="29">
        <v>500</v>
      </c>
      <c r="K155" s="29" t="s">
        <v>123</v>
      </c>
      <c r="L155" s="29">
        <v>25</v>
      </c>
      <c r="M155" s="29"/>
      <c r="N155" s="29"/>
      <c r="O155" s="29"/>
      <c r="P155" s="73">
        <f t="shared" ref="P155:P214" si="8">+I155*H155</f>
        <v>7970590.2786666667</v>
      </c>
      <c r="Q155" s="75" t="s">
        <v>52</v>
      </c>
      <c r="R155"/>
      <c r="S155" s="52">
        <f t="shared" ref="S155:S186" si="9">+$T$155*H155*12/5</f>
        <v>14653133.168300802</v>
      </c>
      <c r="T155" s="51">
        <v>0.76600000000000001</v>
      </c>
      <c r="U155"/>
      <c r="V155"/>
    </row>
    <row r="156" spans="1:22" s="33" customFormat="1" x14ac:dyDescent="0.25">
      <c r="A156" s="26" t="s">
        <v>81</v>
      </c>
      <c r="B156" s="60" t="s">
        <v>13</v>
      </c>
      <c r="C156" s="60" t="s">
        <v>85</v>
      </c>
      <c r="D156" s="60" t="s">
        <v>186</v>
      </c>
      <c r="E156" s="60">
        <v>1</v>
      </c>
      <c r="F156" s="60" t="s">
        <v>1</v>
      </c>
      <c r="G156" s="72" t="s">
        <v>12</v>
      </c>
      <c r="H156" s="73">
        <v>17253486.835999999</v>
      </c>
      <c r="I156" s="74">
        <v>1</v>
      </c>
      <c r="J156" s="29">
        <v>1000</v>
      </c>
      <c r="K156" s="29" t="s">
        <v>123</v>
      </c>
      <c r="L156" s="29">
        <v>25</v>
      </c>
      <c r="M156" s="29"/>
      <c r="N156" s="29"/>
      <c r="O156" s="29"/>
      <c r="P156" s="73">
        <f t="shared" si="8"/>
        <v>17253486.835999999</v>
      </c>
      <c r="Q156" s="75" t="s">
        <v>52</v>
      </c>
      <c r="R156"/>
      <c r="S156" s="52">
        <f t="shared" si="9"/>
        <v>31718810.199302398</v>
      </c>
      <c r="U156"/>
      <c r="V156"/>
    </row>
    <row r="157" spans="1:22" s="33" customFormat="1" x14ac:dyDescent="0.25">
      <c r="A157" s="26" t="s">
        <v>81</v>
      </c>
      <c r="B157" s="60" t="s">
        <v>13</v>
      </c>
      <c r="C157" s="60" t="s">
        <v>85</v>
      </c>
      <c r="D157" s="60" t="s">
        <v>187</v>
      </c>
      <c r="E157" s="60">
        <v>1</v>
      </c>
      <c r="F157" s="60" t="s">
        <v>1</v>
      </c>
      <c r="G157" s="72" t="s">
        <v>12</v>
      </c>
      <c r="H157" s="73">
        <v>27004015.447999999</v>
      </c>
      <c r="I157" s="74">
        <v>1</v>
      </c>
      <c r="J157" s="29">
        <v>1500</v>
      </c>
      <c r="K157" s="29" t="s">
        <v>123</v>
      </c>
      <c r="L157" s="29">
        <v>25</v>
      </c>
      <c r="M157" s="29"/>
      <c r="N157" s="29"/>
      <c r="O157" s="29"/>
      <c r="P157" s="73">
        <f t="shared" si="8"/>
        <v>27004015.447999999</v>
      </c>
      <c r="Q157" s="75" t="s">
        <v>52</v>
      </c>
      <c r="R157"/>
      <c r="S157" s="52">
        <f t="shared" si="9"/>
        <v>49644181.999603197</v>
      </c>
      <c r="U157"/>
      <c r="V157"/>
    </row>
    <row r="158" spans="1:22" s="33" customFormat="1" x14ac:dyDescent="0.25">
      <c r="A158" s="26" t="s">
        <v>81</v>
      </c>
      <c r="B158" s="60" t="s">
        <v>13</v>
      </c>
      <c r="C158" s="60" t="s">
        <v>85</v>
      </c>
      <c r="D158" s="60" t="s">
        <v>188</v>
      </c>
      <c r="E158" s="60">
        <v>1</v>
      </c>
      <c r="F158" s="60" t="s">
        <v>1</v>
      </c>
      <c r="G158" s="72" t="s">
        <v>12</v>
      </c>
      <c r="H158" s="73">
        <v>40124226.079999998</v>
      </c>
      <c r="I158" s="74">
        <v>1</v>
      </c>
      <c r="J158" s="29">
        <v>2500</v>
      </c>
      <c r="K158" s="29" t="s">
        <v>123</v>
      </c>
      <c r="L158" s="29">
        <v>25</v>
      </c>
      <c r="M158" s="29"/>
      <c r="N158" s="29"/>
      <c r="O158" s="29"/>
      <c r="P158" s="73">
        <f t="shared" si="8"/>
        <v>40124226.079999998</v>
      </c>
      <c r="Q158" s="75" t="s">
        <v>52</v>
      </c>
      <c r="R158"/>
      <c r="S158" s="52">
        <f t="shared" si="9"/>
        <v>73764377.225472003</v>
      </c>
      <c r="U158"/>
      <c r="V158"/>
    </row>
    <row r="159" spans="1:22" s="33" customFormat="1" x14ac:dyDescent="0.25">
      <c r="A159" s="26" t="s">
        <v>81</v>
      </c>
      <c r="B159" s="60" t="s">
        <v>13</v>
      </c>
      <c r="C159" s="60" t="s">
        <v>85</v>
      </c>
      <c r="D159" s="60" t="s">
        <v>189</v>
      </c>
      <c r="E159" s="60">
        <v>1</v>
      </c>
      <c r="F159" s="60" t="s">
        <v>1</v>
      </c>
      <c r="G159" s="72" t="s">
        <v>12</v>
      </c>
      <c r="H159" s="73">
        <v>7970590.2786666667</v>
      </c>
      <c r="I159" s="74">
        <v>1</v>
      </c>
      <c r="J159" s="29">
        <v>500</v>
      </c>
      <c r="K159" s="29" t="s">
        <v>123</v>
      </c>
      <c r="L159" s="29">
        <v>15</v>
      </c>
      <c r="M159" s="29"/>
      <c r="N159" s="29"/>
      <c r="O159" s="29"/>
      <c r="P159" s="73">
        <f t="shared" si="8"/>
        <v>7970590.2786666667</v>
      </c>
      <c r="Q159" s="75" t="s">
        <v>52</v>
      </c>
      <c r="R159"/>
      <c r="S159" s="52">
        <f t="shared" si="9"/>
        <v>14653133.168300802</v>
      </c>
      <c r="U159"/>
      <c r="V159"/>
    </row>
    <row r="160" spans="1:22" s="33" customFormat="1" x14ac:dyDescent="0.25">
      <c r="A160" s="26" t="s">
        <v>81</v>
      </c>
      <c r="B160" s="60" t="s">
        <v>13</v>
      </c>
      <c r="C160" s="60" t="s">
        <v>85</v>
      </c>
      <c r="D160" s="60" t="s">
        <v>190</v>
      </c>
      <c r="E160" s="60">
        <v>1</v>
      </c>
      <c r="F160" s="60" t="s">
        <v>1</v>
      </c>
      <c r="G160" s="72" t="s">
        <v>12</v>
      </c>
      <c r="H160" s="73">
        <v>17253486.835999999</v>
      </c>
      <c r="I160" s="74">
        <v>1</v>
      </c>
      <c r="J160" s="29">
        <v>1000</v>
      </c>
      <c r="K160" s="29" t="s">
        <v>123</v>
      </c>
      <c r="L160" s="29">
        <v>15</v>
      </c>
      <c r="M160" s="29"/>
      <c r="N160" s="29"/>
      <c r="O160" s="29"/>
      <c r="P160" s="73">
        <f t="shared" si="8"/>
        <v>17253486.835999999</v>
      </c>
      <c r="Q160" s="75" t="s">
        <v>52</v>
      </c>
      <c r="R160"/>
      <c r="S160" s="52">
        <f t="shared" si="9"/>
        <v>31718810.199302398</v>
      </c>
      <c r="U160"/>
      <c r="V160"/>
    </row>
    <row r="161" spans="1:22" s="33" customFormat="1" x14ac:dyDescent="0.25">
      <c r="A161" s="26" t="s">
        <v>81</v>
      </c>
      <c r="B161" s="60" t="s">
        <v>13</v>
      </c>
      <c r="C161" s="60" t="s">
        <v>85</v>
      </c>
      <c r="D161" s="60" t="s">
        <v>191</v>
      </c>
      <c r="E161" s="60">
        <v>1</v>
      </c>
      <c r="F161" s="60" t="s">
        <v>1</v>
      </c>
      <c r="G161" s="72" t="s">
        <v>12</v>
      </c>
      <c r="H161" s="73">
        <v>27004015.447999999</v>
      </c>
      <c r="I161" s="74">
        <v>1</v>
      </c>
      <c r="J161" s="29">
        <v>1500</v>
      </c>
      <c r="K161" s="29" t="s">
        <v>123</v>
      </c>
      <c r="L161" s="29">
        <v>15</v>
      </c>
      <c r="M161" s="29"/>
      <c r="N161" s="29"/>
      <c r="O161" s="29"/>
      <c r="P161" s="73">
        <f t="shared" si="8"/>
        <v>27004015.447999999</v>
      </c>
      <c r="Q161" s="75" t="s">
        <v>52</v>
      </c>
      <c r="R161"/>
      <c r="S161" s="52">
        <f t="shared" si="9"/>
        <v>49644181.999603197</v>
      </c>
      <c r="U161"/>
      <c r="V161"/>
    </row>
    <row r="162" spans="1:22" s="33" customFormat="1" x14ac:dyDescent="0.25">
      <c r="A162" s="26" t="s">
        <v>81</v>
      </c>
      <c r="B162" s="60" t="s">
        <v>13</v>
      </c>
      <c r="C162" s="60" t="s">
        <v>85</v>
      </c>
      <c r="D162" s="60" t="s">
        <v>192</v>
      </c>
      <c r="E162" s="60">
        <v>1</v>
      </c>
      <c r="F162" s="60" t="s">
        <v>1</v>
      </c>
      <c r="G162" s="72" t="s">
        <v>12</v>
      </c>
      <c r="H162" s="73">
        <v>40124226.079999998</v>
      </c>
      <c r="I162" s="74">
        <v>1</v>
      </c>
      <c r="J162" s="29">
        <v>2500</v>
      </c>
      <c r="K162" s="29" t="s">
        <v>123</v>
      </c>
      <c r="L162" s="29">
        <v>15</v>
      </c>
      <c r="M162" s="29"/>
      <c r="N162" s="29"/>
      <c r="O162" s="29"/>
      <c r="P162" s="73">
        <f t="shared" si="8"/>
        <v>40124226.079999998</v>
      </c>
      <c r="Q162" s="75" t="s">
        <v>52</v>
      </c>
      <c r="R162"/>
      <c r="S162" s="52">
        <f t="shared" si="9"/>
        <v>73764377.225472003</v>
      </c>
      <c r="U162"/>
      <c r="V162"/>
    </row>
    <row r="163" spans="1:22" s="33" customFormat="1" x14ac:dyDescent="0.25">
      <c r="A163" s="26" t="s">
        <v>81</v>
      </c>
      <c r="B163" s="60" t="s">
        <v>13</v>
      </c>
      <c r="C163" s="60" t="s">
        <v>85</v>
      </c>
      <c r="D163" s="60" t="s">
        <v>193</v>
      </c>
      <c r="E163" s="60">
        <v>2</v>
      </c>
      <c r="F163" s="60" t="s">
        <v>1</v>
      </c>
      <c r="G163" s="72" t="s">
        <v>12</v>
      </c>
      <c r="H163" s="73">
        <v>9192714.8159999996</v>
      </c>
      <c r="I163" s="74">
        <v>1</v>
      </c>
      <c r="J163" s="29">
        <v>500</v>
      </c>
      <c r="K163" s="29" t="s">
        <v>123</v>
      </c>
      <c r="L163" s="29">
        <v>25</v>
      </c>
      <c r="M163" s="29"/>
      <c r="N163" s="29"/>
      <c r="O163" s="29"/>
      <c r="P163" s="73">
        <f t="shared" si="8"/>
        <v>9192714.8159999996</v>
      </c>
      <c r="Q163" s="75" t="s">
        <v>52</v>
      </c>
      <c r="R163"/>
      <c r="S163" s="52">
        <f t="shared" si="9"/>
        <v>16899886.917734399</v>
      </c>
      <c r="U163"/>
      <c r="V163"/>
    </row>
    <row r="164" spans="1:22" s="33" customFormat="1" x14ac:dyDescent="0.25">
      <c r="A164" s="26" t="s">
        <v>81</v>
      </c>
      <c r="B164" s="60" t="s">
        <v>13</v>
      </c>
      <c r="C164" s="60" t="s">
        <v>85</v>
      </c>
      <c r="D164" s="60" t="s">
        <v>194</v>
      </c>
      <c r="E164" s="60">
        <v>2</v>
      </c>
      <c r="F164" s="60" t="s">
        <v>1</v>
      </c>
      <c r="G164" s="72" t="s">
        <v>12</v>
      </c>
      <c r="H164" s="73">
        <v>19252335.373333331</v>
      </c>
      <c r="I164" s="74">
        <v>1</v>
      </c>
      <c r="J164" s="29">
        <v>1000</v>
      </c>
      <c r="K164" s="29" t="s">
        <v>123</v>
      </c>
      <c r="L164" s="29">
        <v>25</v>
      </c>
      <c r="M164" s="29"/>
      <c r="N164" s="29"/>
      <c r="O164" s="29"/>
      <c r="P164" s="73">
        <f t="shared" si="8"/>
        <v>19252335.373333331</v>
      </c>
      <c r="Q164" s="75" t="s">
        <v>52</v>
      </c>
      <c r="R164"/>
      <c r="S164" s="52">
        <f t="shared" si="9"/>
        <v>35393493.350336</v>
      </c>
      <c r="U164"/>
      <c r="V164"/>
    </row>
    <row r="165" spans="1:22" s="33" customFormat="1" x14ac:dyDescent="0.25">
      <c r="A165" s="26" t="s">
        <v>81</v>
      </c>
      <c r="B165" s="60" t="s">
        <v>13</v>
      </c>
      <c r="C165" s="60" t="s">
        <v>85</v>
      </c>
      <c r="D165" s="60" t="s">
        <v>195</v>
      </c>
      <c r="E165" s="60">
        <v>2</v>
      </c>
      <c r="F165" s="60" t="s">
        <v>1</v>
      </c>
      <c r="G165" s="72" t="s">
        <v>12</v>
      </c>
      <c r="H165" s="73">
        <v>29532935.985333335</v>
      </c>
      <c r="I165" s="74">
        <v>1</v>
      </c>
      <c r="J165" s="29">
        <v>1500</v>
      </c>
      <c r="K165" s="29" t="s">
        <v>123</v>
      </c>
      <c r="L165" s="29">
        <v>25</v>
      </c>
      <c r="M165" s="29"/>
      <c r="N165" s="29"/>
      <c r="O165" s="29"/>
      <c r="P165" s="73">
        <f t="shared" si="8"/>
        <v>29532935.985333335</v>
      </c>
      <c r="Q165" s="75" t="s">
        <v>52</v>
      </c>
      <c r="R165"/>
      <c r="S165" s="52">
        <f t="shared" si="9"/>
        <v>54293349.515436806</v>
      </c>
      <c r="U165"/>
      <c r="V165"/>
    </row>
    <row r="166" spans="1:22" s="33" customFormat="1" x14ac:dyDescent="0.25">
      <c r="A166" s="26" t="s">
        <v>81</v>
      </c>
      <c r="B166" s="60" t="s">
        <v>13</v>
      </c>
      <c r="C166" s="60" t="s">
        <v>85</v>
      </c>
      <c r="D166" s="60" t="s">
        <v>196</v>
      </c>
      <c r="E166" s="60">
        <v>2</v>
      </c>
      <c r="F166" s="60" t="s">
        <v>1</v>
      </c>
      <c r="G166" s="72" t="s">
        <v>12</v>
      </c>
      <c r="H166" s="73">
        <v>42653146.61733333</v>
      </c>
      <c r="I166" s="74">
        <v>1</v>
      </c>
      <c r="J166" s="29">
        <v>2500</v>
      </c>
      <c r="K166" s="29" t="s">
        <v>123</v>
      </c>
      <c r="L166" s="29">
        <v>25</v>
      </c>
      <c r="M166" s="29"/>
      <c r="N166" s="29"/>
      <c r="O166" s="29"/>
      <c r="P166" s="73">
        <f t="shared" si="8"/>
        <v>42653146.61733333</v>
      </c>
      <c r="Q166" s="75" t="s">
        <v>52</v>
      </c>
      <c r="R166"/>
      <c r="S166" s="52">
        <f t="shared" si="9"/>
        <v>78413544.74130559</v>
      </c>
      <c r="U166"/>
      <c r="V166"/>
    </row>
    <row r="167" spans="1:22" s="33" customFormat="1" x14ac:dyDescent="0.25">
      <c r="A167" s="26" t="s">
        <v>81</v>
      </c>
      <c r="B167" s="60" t="s">
        <v>13</v>
      </c>
      <c r="C167" s="60" t="s">
        <v>85</v>
      </c>
      <c r="D167" s="60" t="s">
        <v>197</v>
      </c>
      <c r="E167" s="60">
        <v>2</v>
      </c>
      <c r="F167" s="60" t="s">
        <v>1</v>
      </c>
      <c r="G167" s="72" t="s">
        <v>12</v>
      </c>
      <c r="H167" s="73">
        <v>9192714.8159999996</v>
      </c>
      <c r="I167" s="74">
        <v>1</v>
      </c>
      <c r="J167" s="29">
        <v>500</v>
      </c>
      <c r="K167" s="29" t="s">
        <v>123</v>
      </c>
      <c r="L167" s="29">
        <v>15</v>
      </c>
      <c r="M167" s="29"/>
      <c r="N167" s="29"/>
      <c r="O167" s="29"/>
      <c r="P167" s="73">
        <f t="shared" si="8"/>
        <v>9192714.8159999996</v>
      </c>
      <c r="Q167" s="75" t="s">
        <v>52</v>
      </c>
      <c r="R167"/>
      <c r="S167" s="52">
        <f t="shared" si="9"/>
        <v>16899886.917734399</v>
      </c>
      <c r="U167"/>
      <c r="V167"/>
    </row>
    <row r="168" spans="1:22" s="33" customFormat="1" x14ac:dyDescent="0.25">
      <c r="A168" s="26" t="s">
        <v>81</v>
      </c>
      <c r="B168" s="60" t="s">
        <v>13</v>
      </c>
      <c r="C168" s="60" t="s">
        <v>85</v>
      </c>
      <c r="D168" s="60" t="s">
        <v>198</v>
      </c>
      <c r="E168" s="60">
        <v>2</v>
      </c>
      <c r="F168" s="60" t="s">
        <v>1</v>
      </c>
      <c r="G168" s="72" t="s">
        <v>12</v>
      </c>
      <c r="H168" s="73">
        <v>19252335.373333331</v>
      </c>
      <c r="I168" s="74">
        <v>1</v>
      </c>
      <c r="J168" s="29">
        <v>1000</v>
      </c>
      <c r="K168" s="29" t="s">
        <v>123</v>
      </c>
      <c r="L168" s="29">
        <v>15</v>
      </c>
      <c r="M168" s="29"/>
      <c r="N168" s="29"/>
      <c r="O168" s="29"/>
      <c r="P168" s="73">
        <f t="shared" si="8"/>
        <v>19252335.373333331</v>
      </c>
      <c r="Q168" s="75" t="s">
        <v>52</v>
      </c>
      <c r="R168"/>
      <c r="S168" s="52">
        <f t="shared" si="9"/>
        <v>35393493.350336</v>
      </c>
      <c r="U168"/>
      <c r="V168"/>
    </row>
    <row r="169" spans="1:22" s="33" customFormat="1" x14ac:dyDescent="0.25">
      <c r="A169" s="26" t="s">
        <v>81</v>
      </c>
      <c r="B169" s="60" t="s">
        <v>13</v>
      </c>
      <c r="C169" s="60" t="s">
        <v>85</v>
      </c>
      <c r="D169" s="60" t="s">
        <v>199</v>
      </c>
      <c r="E169" s="60">
        <v>2</v>
      </c>
      <c r="F169" s="60" t="s">
        <v>1</v>
      </c>
      <c r="G169" s="72" t="s">
        <v>12</v>
      </c>
      <c r="H169" s="73">
        <v>29532935.985333335</v>
      </c>
      <c r="I169" s="74">
        <v>1</v>
      </c>
      <c r="J169" s="29">
        <v>1500</v>
      </c>
      <c r="K169" s="29" t="s">
        <v>123</v>
      </c>
      <c r="L169" s="29">
        <v>15</v>
      </c>
      <c r="M169" s="29"/>
      <c r="N169" s="29"/>
      <c r="O169" s="29"/>
      <c r="P169" s="73">
        <f t="shared" si="8"/>
        <v>29532935.985333335</v>
      </c>
      <c r="Q169" s="75" t="s">
        <v>52</v>
      </c>
      <c r="R169"/>
      <c r="S169" s="52">
        <f t="shared" si="9"/>
        <v>54293349.515436806</v>
      </c>
      <c r="U169"/>
      <c r="V169"/>
    </row>
    <row r="170" spans="1:22" s="33" customFormat="1" x14ac:dyDescent="0.25">
      <c r="A170" s="26" t="s">
        <v>81</v>
      </c>
      <c r="B170" s="60" t="s">
        <v>13</v>
      </c>
      <c r="C170" s="60" t="s">
        <v>85</v>
      </c>
      <c r="D170" s="60" t="s">
        <v>200</v>
      </c>
      <c r="E170" s="60">
        <v>2</v>
      </c>
      <c r="F170" s="60" t="s">
        <v>1</v>
      </c>
      <c r="G170" s="72" t="s">
        <v>12</v>
      </c>
      <c r="H170" s="73">
        <v>42653146.61733333</v>
      </c>
      <c r="I170" s="74">
        <v>1</v>
      </c>
      <c r="J170" s="29">
        <v>2500</v>
      </c>
      <c r="K170" s="29" t="s">
        <v>123</v>
      </c>
      <c r="L170" s="29">
        <v>15</v>
      </c>
      <c r="M170" s="29"/>
      <c r="N170" s="29"/>
      <c r="O170" s="29"/>
      <c r="P170" s="73">
        <f t="shared" si="8"/>
        <v>42653146.61733333</v>
      </c>
      <c r="Q170" s="75" t="s">
        <v>52</v>
      </c>
      <c r="R170"/>
      <c r="S170" s="52">
        <f t="shared" si="9"/>
        <v>78413544.74130559</v>
      </c>
      <c r="U170"/>
      <c r="V170"/>
    </row>
    <row r="171" spans="1:22" s="33" customFormat="1" x14ac:dyDescent="0.25">
      <c r="A171" s="26" t="s">
        <v>81</v>
      </c>
      <c r="B171" s="60" t="s">
        <v>13</v>
      </c>
      <c r="C171" s="60" t="s">
        <v>85</v>
      </c>
      <c r="D171" s="60" t="s">
        <v>193</v>
      </c>
      <c r="E171" s="60">
        <v>3</v>
      </c>
      <c r="F171" s="60" t="s">
        <v>1</v>
      </c>
      <c r="G171" s="72" t="s">
        <v>12</v>
      </c>
      <c r="H171" s="73">
        <v>9192714.8159999996</v>
      </c>
      <c r="I171" s="74">
        <v>1</v>
      </c>
      <c r="J171" s="29">
        <v>500</v>
      </c>
      <c r="K171" s="29" t="s">
        <v>123</v>
      </c>
      <c r="L171" s="29">
        <v>25</v>
      </c>
      <c r="M171" s="29"/>
      <c r="N171" s="29"/>
      <c r="O171" s="29"/>
      <c r="P171" s="73">
        <f t="shared" ref="P171:P178" si="10">+I171*H171</f>
        <v>9192714.8159999996</v>
      </c>
      <c r="Q171" s="75" t="s">
        <v>52</v>
      </c>
      <c r="R171"/>
      <c r="S171" s="52">
        <f t="shared" si="9"/>
        <v>16899886.917734399</v>
      </c>
      <c r="U171"/>
      <c r="V171"/>
    </row>
    <row r="172" spans="1:22" s="33" customFormat="1" x14ac:dyDescent="0.25">
      <c r="A172" s="26" t="s">
        <v>81</v>
      </c>
      <c r="B172" s="60" t="s">
        <v>13</v>
      </c>
      <c r="C172" s="60" t="s">
        <v>85</v>
      </c>
      <c r="D172" s="60" t="s">
        <v>194</v>
      </c>
      <c r="E172" s="60">
        <v>3</v>
      </c>
      <c r="F172" s="60" t="s">
        <v>1</v>
      </c>
      <c r="G172" s="72" t="s">
        <v>12</v>
      </c>
      <c r="H172" s="73">
        <v>19252335.373333331</v>
      </c>
      <c r="I172" s="74">
        <v>1</v>
      </c>
      <c r="J172" s="29">
        <v>1000</v>
      </c>
      <c r="K172" s="29" t="s">
        <v>123</v>
      </c>
      <c r="L172" s="29">
        <v>25</v>
      </c>
      <c r="M172" s="29"/>
      <c r="N172" s="29"/>
      <c r="O172" s="29"/>
      <c r="P172" s="73">
        <f t="shared" si="10"/>
        <v>19252335.373333331</v>
      </c>
      <c r="Q172" s="75" t="s">
        <v>52</v>
      </c>
      <c r="R172"/>
      <c r="S172" s="52">
        <f t="shared" si="9"/>
        <v>35393493.350336</v>
      </c>
      <c r="U172"/>
      <c r="V172"/>
    </row>
    <row r="173" spans="1:22" s="33" customFormat="1" x14ac:dyDescent="0.25">
      <c r="A173" s="26" t="s">
        <v>81</v>
      </c>
      <c r="B173" s="60" t="s">
        <v>13</v>
      </c>
      <c r="C173" s="60" t="s">
        <v>85</v>
      </c>
      <c r="D173" s="60" t="s">
        <v>195</v>
      </c>
      <c r="E173" s="60">
        <v>3</v>
      </c>
      <c r="F173" s="60" t="s">
        <v>1</v>
      </c>
      <c r="G173" s="72" t="s">
        <v>12</v>
      </c>
      <c r="H173" s="73">
        <v>29532935.985333335</v>
      </c>
      <c r="I173" s="74">
        <v>1</v>
      </c>
      <c r="J173" s="29">
        <v>1500</v>
      </c>
      <c r="K173" s="29" t="s">
        <v>123</v>
      </c>
      <c r="L173" s="29">
        <v>25</v>
      </c>
      <c r="M173" s="29"/>
      <c r="N173" s="29"/>
      <c r="O173" s="29"/>
      <c r="P173" s="73">
        <f t="shared" si="10"/>
        <v>29532935.985333335</v>
      </c>
      <c r="Q173" s="75" t="s">
        <v>52</v>
      </c>
      <c r="R173"/>
      <c r="S173" s="52">
        <f t="shared" si="9"/>
        <v>54293349.515436806</v>
      </c>
      <c r="U173"/>
      <c r="V173"/>
    </row>
    <row r="174" spans="1:22" s="33" customFormat="1" x14ac:dyDescent="0.25">
      <c r="A174" s="26" t="s">
        <v>81</v>
      </c>
      <c r="B174" s="60" t="s">
        <v>13</v>
      </c>
      <c r="C174" s="60" t="s">
        <v>85</v>
      </c>
      <c r="D174" s="60" t="s">
        <v>196</v>
      </c>
      <c r="E174" s="60">
        <v>3</v>
      </c>
      <c r="F174" s="60" t="s">
        <v>1</v>
      </c>
      <c r="G174" s="72" t="s">
        <v>12</v>
      </c>
      <c r="H174" s="73">
        <v>42653146.61733333</v>
      </c>
      <c r="I174" s="74">
        <v>1</v>
      </c>
      <c r="J174" s="29">
        <v>2500</v>
      </c>
      <c r="K174" s="29" t="s">
        <v>123</v>
      </c>
      <c r="L174" s="29">
        <v>25</v>
      </c>
      <c r="M174" s="29"/>
      <c r="N174" s="29"/>
      <c r="O174" s="29"/>
      <c r="P174" s="73">
        <f t="shared" si="10"/>
        <v>42653146.61733333</v>
      </c>
      <c r="Q174" s="75" t="s">
        <v>52</v>
      </c>
      <c r="R174"/>
      <c r="S174" s="52">
        <f t="shared" si="9"/>
        <v>78413544.74130559</v>
      </c>
      <c r="U174"/>
      <c r="V174"/>
    </row>
    <row r="175" spans="1:22" s="33" customFormat="1" x14ac:dyDescent="0.25">
      <c r="A175" s="26" t="s">
        <v>81</v>
      </c>
      <c r="B175" s="60" t="s">
        <v>13</v>
      </c>
      <c r="C175" s="60" t="s">
        <v>85</v>
      </c>
      <c r="D175" s="60" t="s">
        <v>197</v>
      </c>
      <c r="E175" s="60">
        <v>3</v>
      </c>
      <c r="F175" s="60" t="s">
        <v>1</v>
      </c>
      <c r="G175" s="72" t="s">
        <v>12</v>
      </c>
      <c r="H175" s="73">
        <v>9192714.8159999996</v>
      </c>
      <c r="I175" s="74">
        <v>1</v>
      </c>
      <c r="J175" s="29">
        <v>500</v>
      </c>
      <c r="K175" s="29" t="s">
        <v>123</v>
      </c>
      <c r="L175" s="29">
        <v>15</v>
      </c>
      <c r="M175" s="29"/>
      <c r="N175" s="29"/>
      <c r="O175" s="29"/>
      <c r="P175" s="73">
        <f t="shared" si="10"/>
        <v>9192714.8159999996</v>
      </c>
      <c r="Q175" s="75" t="s">
        <v>52</v>
      </c>
      <c r="R175"/>
      <c r="S175" s="52">
        <f t="shared" si="9"/>
        <v>16899886.917734399</v>
      </c>
      <c r="U175"/>
      <c r="V175"/>
    </row>
    <row r="176" spans="1:22" s="33" customFormat="1" x14ac:dyDescent="0.25">
      <c r="A176" s="26" t="s">
        <v>81</v>
      </c>
      <c r="B176" s="60" t="s">
        <v>13</v>
      </c>
      <c r="C176" s="60" t="s">
        <v>85</v>
      </c>
      <c r="D176" s="60" t="s">
        <v>198</v>
      </c>
      <c r="E176" s="60">
        <v>3</v>
      </c>
      <c r="F176" s="60" t="s">
        <v>1</v>
      </c>
      <c r="G176" s="72" t="s">
        <v>12</v>
      </c>
      <c r="H176" s="73">
        <v>19252335.373333331</v>
      </c>
      <c r="I176" s="74">
        <v>1</v>
      </c>
      <c r="J176" s="29">
        <v>1000</v>
      </c>
      <c r="K176" s="29" t="s">
        <v>123</v>
      </c>
      <c r="L176" s="29">
        <v>15</v>
      </c>
      <c r="M176" s="29"/>
      <c r="N176" s="29"/>
      <c r="O176" s="29"/>
      <c r="P176" s="73">
        <f t="shared" si="10"/>
        <v>19252335.373333331</v>
      </c>
      <c r="Q176" s="75" t="s">
        <v>52</v>
      </c>
      <c r="R176"/>
      <c r="S176" s="52">
        <f t="shared" si="9"/>
        <v>35393493.350336</v>
      </c>
      <c r="U176"/>
      <c r="V176"/>
    </row>
    <row r="177" spans="1:22" s="33" customFormat="1" x14ac:dyDescent="0.25">
      <c r="A177" s="26" t="s">
        <v>81</v>
      </c>
      <c r="B177" s="60" t="s">
        <v>13</v>
      </c>
      <c r="C177" s="60" t="s">
        <v>85</v>
      </c>
      <c r="D177" s="60" t="s">
        <v>199</v>
      </c>
      <c r="E177" s="60">
        <v>3</v>
      </c>
      <c r="F177" s="60" t="s">
        <v>1</v>
      </c>
      <c r="G177" s="72" t="s">
        <v>12</v>
      </c>
      <c r="H177" s="73">
        <v>29532935.985333335</v>
      </c>
      <c r="I177" s="74">
        <v>1</v>
      </c>
      <c r="J177" s="29">
        <v>1500</v>
      </c>
      <c r="K177" s="29" t="s">
        <v>123</v>
      </c>
      <c r="L177" s="29">
        <v>15</v>
      </c>
      <c r="M177" s="29"/>
      <c r="N177" s="29"/>
      <c r="O177" s="29"/>
      <c r="P177" s="73">
        <f t="shared" si="10"/>
        <v>29532935.985333335</v>
      </c>
      <c r="Q177" s="75" t="s">
        <v>52</v>
      </c>
      <c r="R177"/>
      <c r="S177" s="52">
        <f t="shared" si="9"/>
        <v>54293349.515436806</v>
      </c>
      <c r="U177"/>
      <c r="V177"/>
    </row>
    <row r="178" spans="1:22" s="33" customFormat="1" x14ac:dyDescent="0.25">
      <c r="A178" s="26" t="s">
        <v>81</v>
      </c>
      <c r="B178" s="60" t="s">
        <v>13</v>
      </c>
      <c r="C178" s="60" t="s">
        <v>85</v>
      </c>
      <c r="D178" s="60" t="s">
        <v>200</v>
      </c>
      <c r="E178" s="60">
        <v>3</v>
      </c>
      <c r="F178" s="60" t="s">
        <v>1</v>
      </c>
      <c r="G178" s="72" t="s">
        <v>12</v>
      </c>
      <c r="H178" s="73">
        <v>42653146.61733333</v>
      </c>
      <c r="I178" s="74">
        <v>1</v>
      </c>
      <c r="J178" s="29">
        <v>2500</v>
      </c>
      <c r="K178" s="29" t="s">
        <v>123</v>
      </c>
      <c r="L178" s="29">
        <v>15</v>
      </c>
      <c r="M178" s="29"/>
      <c r="N178" s="29"/>
      <c r="O178" s="29"/>
      <c r="P178" s="73">
        <f t="shared" si="10"/>
        <v>42653146.61733333</v>
      </c>
      <c r="Q178" s="75" t="s">
        <v>52</v>
      </c>
      <c r="R178"/>
      <c r="S178" s="52">
        <f t="shared" si="9"/>
        <v>78413544.74130559</v>
      </c>
      <c r="U178"/>
      <c r="V178"/>
    </row>
    <row r="179" spans="1:22" s="33" customFormat="1" x14ac:dyDescent="0.25">
      <c r="A179" s="26" t="s">
        <v>81</v>
      </c>
      <c r="B179" s="60" t="s">
        <v>13</v>
      </c>
      <c r="C179" s="60" t="s">
        <v>86</v>
      </c>
      <c r="D179" s="60" t="s">
        <v>185</v>
      </c>
      <c r="E179" s="60">
        <v>1</v>
      </c>
      <c r="F179" s="60" t="s">
        <v>1</v>
      </c>
      <c r="G179" s="72" t="s">
        <v>12</v>
      </c>
      <c r="H179" s="73">
        <v>9814367.0633333344</v>
      </c>
      <c r="I179" s="74">
        <v>1</v>
      </c>
      <c r="J179" s="29">
        <v>500</v>
      </c>
      <c r="K179" s="29" t="s">
        <v>123</v>
      </c>
      <c r="L179" s="29">
        <v>25</v>
      </c>
      <c r="M179" s="29"/>
      <c r="N179" s="29"/>
      <c r="O179" s="29"/>
      <c r="P179" s="73">
        <f t="shared" si="8"/>
        <v>9814367.0633333344</v>
      </c>
      <c r="Q179" s="75" t="s">
        <v>52</v>
      </c>
      <c r="R179"/>
      <c r="S179" s="52">
        <f t="shared" si="9"/>
        <v>18042732.409232002</v>
      </c>
      <c r="U179"/>
      <c r="V179"/>
    </row>
    <row r="180" spans="1:22" s="33" customFormat="1" x14ac:dyDescent="0.25">
      <c r="A180" s="26" t="s">
        <v>81</v>
      </c>
      <c r="B180" s="60" t="s">
        <v>13</v>
      </c>
      <c r="C180" s="60" t="s">
        <v>86</v>
      </c>
      <c r="D180" s="60" t="s">
        <v>186</v>
      </c>
      <c r="E180" s="60">
        <v>1</v>
      </c>
      <c r="F180" s="60" t="s">
        <v>1</v>
      </c>
      <c r="G180" s="72" t="s">
        <v>12</v>
      </c>
      <c r="H180" s="73">
        <v>18918907.063333333</v>
      </c>
      <c r="I180" s="74">
        <v>1</v>
      </c>
      <c r="J180" s="29">
        <v>1000</v>
      </c>
      <c r="K180" s="29" t="s">
        <v>123</v>
      </c>
      <c r="L180" s="29">
        <v>25</v>
      </c>
      <c r="M180" s="29"/>
      <c r="N180" s="29"/>
      <c r="O180" s="29"/>
      <c r="P180" s="73">
        <f t="shared" si="8"/>
        <v>18918907.063333333</v>
      </c>
      <c r="Q180" s="75" t="s">
        <v>52</v>
      </c>
      <c r="R180"/>
      <c r="S180" s="52">
        <f t="shared" si="9"/>
        <v>34780518.745232001</v>
      </c>
      <c r="U180"/>
      <c r="V180"/>
    </row>
    <row r="181" spans="1:22" s="33" customFormat="1" x14ac:dyDescent="0.25">
      <c r="A181" s="26" t="s">
        <v>81</v>
      </c>
      <c r="B181" s="60" t="s">
        <v>13</v>
      </c>
      <c r="C181" s="60" t="s">
        <v>86</v>
      </c>
      <c r="D181" s="60" t="s">
        <v>187</v>
      </c>
      <c r="E181" s="60">
        <v>1</v>
      </c>
      <c r="F181" s="60" t="s">
        <v>1</v>
      </c>
      <c r="G181" s="72" t="s">
        <v>12</v>
      </c>
      <c r="H181" s="73">
        <v>27201273.73</v>
      </c>
      <c r="I181" s="74">
        <v>1</v>
      </c>
      <c r="J181" s="29">
        <v>1500</v>
      </c>
      <c r="K181" s="29" t="s">
        <v>123</v>
      </c>
      <c r="L181" s="29">
        <v>25</v>
      </c>
      <c r="M181" s="29"/>
      <c r="N181" s="29"/>
      <c r="O181" s="29"/>
      <c r="P181" s="73">
        <f t="shared" si="8"/>
        <v>27201273.73</v>
      </c>
      <c r="Q181" s="75" t="s">
        <v>52</v>
      </c>
      <c r="R181"/>
      <c r="S181" s="52">
        <f t="shared" si="9"/>
        <v>50006821.625231996</v>
      </c>
      <c r="U181"/>
      <c r="V181"/>
    </row>
    <row r="182" spans="1:22" s="33" customFormat="1" x14ac:dyDescent="0.25">
      <c r="A182" s="26" t="s">
        <v>81</v>
      </c>
      <c r="B182" s="60" t="s">
        <v>13</v>
      </c>
      <c r="C182" s="60" t="s">
        <v>86</v>
      </c>
      <c r="D182" s="60" t="s">
        <v>188</v>
      </c>
      <c r="E182" s="60">
        <v>1</v>
      </c>
      <c r="F182" s="60" t="s">
        <v>1</v>
      </c>
      <c r="G182" s="72" t="s">
        <v>12</v>
      </c>
      <c r="H182" s="73">
        <v>40232193.729999997</v>
      </c>
      <c r="I182" s="74">
        <v>1</v>
      </c>
      <c r="J182" s="29">
        <v>2500</v>
      </c>
      <c r="K182" s="29" t="s">
        <v>123</v>
      </c>
      <c r="L182" s="29">
        <v>25</v>
      </c>
      <c r="M182" s="29"/>
      <c r="N182" s="29"/>
      <c r="O182" s="29"/>
      <c r="P182" s="73">
        <f t="shared" si="8"/>
        <v>40232193.729999997</v>
      </c>
      <c r="Q182" s="75" t="s">
        <v>52</v>
      </c>
      <c r="R182"/>
      <c r="S182" s="52">
        <f t="shared" si="9"/>
        <v>73962864.953232005</v>
      </c>
      <c r="U182"/>
      <c r="V182"/>
    </row>
    <row r="183" spans="1:22" s="33" customFormat="1" x14ac:dyDescent="0.25">
      <c r="A183" s="26" t="s">
        <v>81</v>
      </c>
      <c r="B183" s="60" t="s">
        <v>13</v>
      </c>
      <c r="C183" s="60" t="s">
        <v>86</v>
      </c>
      <c r="D183" s="60" t="s">
        <v>189</v>
      </c>
      <c r="E183" s="60">
        <v>1</v>
      </c>
      <c r="F183" s="60" t="s">
        <v>1</v>
      </c>
      <c r="G183" s="72" t="s">
        <v>12</v>
      </c>
      <c r="H183" s="73">
        <v>9408240.3966666665</v>
      </c>
      <c r="I183" s="74">
        <v>1</v>
      </c>
      <c r="J183" s="29">
        <v>500</v>
      </c>
      <c r="K183" s="29" t="s">
        <v>123</v>
      </c>
      <c r="L183" s="29">
        <v>15</v>
      </c>
      <c r="M183" s="29"/>
      <c r="N183" s="29"/>
      <c r="O183" s="29"/>
      <c r="P183" s="73">
        <f t="shared" si="8"/>
        <v>9408240.3966666665</v>
      </c>
      <c r="Q183" s="75" t="s">
        <v>52</v>
      </c>
      <c r="R183"/>
      <c r="S183" s="52">
        <f t="shared" si="9"/>
        <v>17296109.145231999</v>
      </c>
      <c r="U183"/>
      <c r="V183"/>
    </row>
    <row r="184" spans="1:22" s="33" customFormat="1" x14ac:dyDescent="0.25">
      <c r="A184" s="26" t="s">
        <v>81</v>
      </c>
      <c r="B184" s="60" t="s">
        <v>13</v>
      </c>
      <c r="C184" s="60" t="s">
        <v>86</v>
      </c>
      <c r="D184" s="60" t="s">
        <v>190</v>
      </c>
      <c r="E184" s="60">
        <v>1</v>
      </c>
      <c r="F184" s="60" t="s">
        <v>1</v>
      </c>
      <c r="G184" s="72" t="s">
        <v>12</v>
      </c>
      <c r="H184" s="73">
        <v>18106653.73</v>
      </c>
      <c r="I184" s="74">
        <v>1</v>
      </c>
      <c r="J184" s="29">
        <v>1000</v>
      </c>
      <c r="K184" s="29" t="s">
        <v>123</v>
      </c>
      <c r="L184" s="29">
        <v>15</v>
      </c>
      <c r="M184" s="29"/>
      <c r="N184" s="29"/>
      <c r="O184" s="29"/>
      <c r="P184" s="73">
        <f t="shared" si="8"/>
        <v>18106653.73</v>
      </c>
      <c r="Q184" s="75" t="s">
        <v>52</v>
      </c>
      <c r="R184"/>
      <c r="S184" s="52">
        <f t="shared" si="9"/>
        <v>33287272.217232</v>
      </c>
      <c r="U184"/>
      <c r="V184"/>
    </row>
    <row r="185" spans="1:22" s="33" customFormat="1" x14ac:dyDescent="0.25">
      <c r="A185" s="26" t="s">
        <v>81</v>
      </c>
      <c r="B185" s="60" t="s">
        <v>13</v>
      </c>
      <c r="C185" s="60" t="s">
        <v>86</v>
      </c>
      <c r="D185" s="60" t="s">
        <v>191</v>
      </c>
      <c r="E185" s="60">
        <v>1</v>
      </c>
      <c r="F185" s="60" t="s">
        <v>1</v>
      </c>
      <c r="G185" s="72" t="s">
        <v>12</v>
      </c>
      <c r="H185" s="73">
        <v>25982893.73</v>
      </c>
      <c r="I185" s="74">
        <v>1</v>
      </c>
      <c r="J185" s="29">
        <v>1500</v>
      </c>
      <c r="K185" s="29" t="s">
        <v>123</v>
      </c>
      <c r="L185" s="29">
        <v>15</v>
      </c>
      <c r="M185" s="29"/>
      <c r="N185" s="29"/>
      <c r="O185" s="29"/>
      <c r="P185" s="73">
        <f t="shared" si="8"/>
        <v>25982893.73</v>
      </c>
      <c r="Q185" s="75" t="s">
        <v>52</v>
      </c>
      <c r="R185"/>
      <c r="S185" s="52">
        <f t="shared" si="9"/>
        <v>47766951.833232</v>
      </c>
      <c r="U185"/>
      <c r="V185"/>
    </row>
    <row r="186" spans="1:22" s="33" customFormat="1" x14ac:dyDescent="0.25">
      <c r="A186" s="26" t="s">
        <v>81</v>
      </c>
      <c r="B186" s="60" t="s">
        <v>13</v>
      </c>
      <c r="C186" s="60" t="s">
        <v>86</v>
      </c>
      <c r="D186" s="60" t="s">
        <v>192</v>
      </c>
      <c r="E186" s="60">
        <v>1</v>
      </c>
      <c r="F186" s="60" t="s">
        <v>1</v>
      </c>
      <c r="G186" s="72" t="s">
        <v>12</v>
      </c>
      <c r="H186" s="73">
        <v>38201560.396666668</v>
      </c>
      <c r="I186" s="74">
        <v>1</v>
      </c>
      <c r="J186" s="29">
        <v>2500</v>
      </c>
      <c r="K186" s="29" t="s">
        <v>123</v>
      </c>
      <c r="L186" s="29">
        <v>15</v>
      </c>
      <c r="M186" s="29"/>
      <c r="N186" s="29"/>
      <c r="O186" s="29"/>
      <c r="P186" s="73">
        <f t="shared" si="8"/>
        <v>38201560.396666668</v>
      </c>
      <c r="Q186" s="75" t="s">
        <v>52</v>
      </c>
      <c r="R186"/>
      <c r="S186" s="52">
        <f t="shared" si="9"/>
        <v>70229748.633232012</v>
      </c>
      <c r="U186"/>
      <c r="V186"/>
    </row>
    <row r="187" spans="1:22" s="33" customFormat="1" x14ac:dyDescent="0.25">
      <c r="A187" s="26" t="s">
        <v>81</v>
      </c>
      <c r="B187" s="60" t="s">
        <v>13</v>
      </c>
      <c r="C187" s="60" t="s">
        <v>86</v>
      </c>
      <c r="D187" s="60" t="s">
        <v>193</v>
      </c>
      <c r="E187" s="60">
        <v>2</v>
      </c>
      <c r="F187" s="60" t="s">
        <v>1</v>
      </c>
      <c r="G187" s="72" t="s">
        <v>12</v>
      </c>
      <c r="H187" s="73">
        <v>10804039.063333334</v>
      </c>
      <c r="I187" s="74">
        <v>1</v>
      </c>
      <c r="J187" s="29">
        <v>500</v>
      </c>
      <c r="K187" s="29" t="s">
        <v>123</v>
      </c>
      <c r="L187" s="29">
        <v>25</v>
      </c>
      <c r="M187" s="29"/>
      <c r="N187" s="29"/>
      <c r="O187" s="29"/>
      <c r="P187" s="73">
        <f t="shared" si="8"/>
        <v>10804039.063333334</v>
      </c>
      <c r="Q187" s="75" t="s">
        <v>52</v>
      </c>
      <c r="R187"/>
      <c r="S187" s="52">
        <f t="shared" ref="S187:S218" si="11">+$T$155*H187*12/5</f>
        <v>19862145.414032001</v>
      </c>
      <c r="U187"/>
      <c r="V187"/>
    </row>
    <row r="188" spans="1:22" s="33" customFormat="1" x14ac:dyDescent="0.25">
      <c r="A188" s="26" t="s">
        <v>81</v>
      </c>
      <c r="B188" s="60" t="s">
        <v>13</v>
      </c>
      <c r="C188" s="60" t="s">
        <v>86</v>
      </c>
      <c r="D188" s="60" t="s">
        <v>194</v>
      </c>
      <c r="E188" s="60">
        <v>2</v>
      </c>
      <c r="F188" s="60" t="s">
        <v>1</v>
      </c>
      <c r="G188" s="72" t="s">
        <v>12</v>
      </c>
      <c r="H188" s="73">
        <v>20685303.063333333</v>
      </c>
      <c r="I188" s="74">
        <v>1</v>
      </c>
      <c r="J188" s="29">
        <v>1000</v>
      </c>
      <c r="K188" s="29" t="s">
        <v>123</v>
      </c>
      <c r="L188" s="29">
        <v>25</v>
      </c>
      <c r="M188" s="29"/>
      <c r="N188" s="29"/>
      <c r="O188" s="29"/>
      <c r="P188" s="73">
        <f t="shared" si="8"/>
        <v>20685303.063333333</v>
      </c>
      <c r="Q188" s="75" t="s">
        <v>52</v>
      </c>
      <c r="R188"/>
      <c r="S188" s="52">
        <f t="shared" si="11"/>
        <v>38027861.151631996</v>
      </c>
      <c r="U188"/>
      <c r="V188"/>
    </row>
    <row r="189" spans="1:22" s="33" customFormat="1" x14ac:dyDescent="0.25">
      <c r="A189" s="26" t="s">
        <v>81</v>
      </c>
      <c r="B189" s="60" t="s">
        <v>13</v>
      </c>
      <c r="C189" s="60" t="s">
        <v>86</v>
      </c>
      <c r="D189" s="60" t="s">
        <v>195</v>
      </c>
      <c r="E189" s="60">
        <v>2</v>
      </c>
      <c r="F189" s="60" t="s">
        <v>1</v>
      </c>
      <c r="G189" s="72" t="s">
        <v>12</v>
      </c>
      <c r="H189" s="73">
        <v>29497741.73</v>
      </c>
      <c r="I189" s="74">
        <v>1</v>
      </c>
      <c r="J189" s="29">
        <v>1500</v>
      </c>
      <c r="K189" s="29" t="s">
        <v>123</v>
      </c>
      <c r="L189" s="29">
        <v>25</v>
      </c>
      <c r="M189" s="29"/>
      <c r="N189" s="29"/>
      <c r="O189" s="29"/>
      <c r="P189" s="73">
        <f t="shared" si="8"/>
        <v>29497741.73</v>
      </c>
      <c r="Q189" s="75" t="s">
        <v>52</v>
      </c>
      <c r="R189"/>
      <c r="S189" s="52">
        <f t="shared" si="11"/>
        <v>54228648.396432005</v>
      </c>
      <c r="U189"/>
      <c r="V189"/>
    </row>
    <row r="190" spans="1:22" s="33" customFormat="1" x14ac:dyDescent="0.25">
      <c r="A190" s="26" t="s">
        <v>81</v>
      </c>
      <c r="B190" s="60" t="s">
        <v>13</v>
      </c>
      <c r="C190" s="60" t="s">
        <v>86</v>
      </c>
      <c r="D190" s="60" t="s">
        <v>196</v>
      </c>
      <c r="E190" s="60">
        <v>2</v>
      </c>
      <c r="F190" s="60" t="s">
        <v>1</v>
      </c>
      <c r="G190" s="72" t="s">
        <v>12</v>
      </c>
      <c r="H190" s="73">
        <v>42528661.729999997</v>
      </c>
      <c r="I190" s="74">
        <v>1</v>
      </c>
      <c r="J190" s="29">
        <v>2500</v>
      </c>
      <c r="K190" s="29" t="s">
        <v>123</v>
      </c>
      <c r="L190" s="29">
        <v>25</v>
      </c>
      <c r="M190" s="29"/>
      <c r="N190" s="29"/>
      <c r="O190" s="29"/>
      <c r="P190" s="73">
        <f t="shared" si="8"/>
        <v>42528661.729999997</v>
      </c>
      <c r="Q190" s="75" t="s">
        <v>52</v>
      </c>
      <c r="R190"/>
      <c r="S190" s="52">
        <f t="shared" si="11"/>
        <v>78184691.724431992</v>
      </c>
      <c r="U190"/>
      <c r="V190"/>
    </row>
    <row r="191" spans="1:22" s="33" customFormat="1" x14ac:dyDescent="0.25">
      <c r="A191" s="26" t="s">
        <v>81</v>
      </c>
      <c r="B191" s="60" t="s">
        <v>13</v>
      </c>
      <c r="C191" s="60" t="s">
        <v>86</v>
      </c>
      <c r="D191" s="60" t="s">
        <v>197</v>
      </c>
      <c r="E191" s="60">
        <v>2</v>
      </c>
      <c r="F191" s="60" t="s">
        <v>1</v>
      </c>
      <c r="G191" s="72" t="s">
        <v>12</v>
      </c>
      <c r="H191" s="73">
        <v>10397912.396666666</v>
      </c>
      <c r="I191" s="74">
        <v>1</v>
      </c>
      <c r="J191" s="29">
        <v>500</v>
      </c>
      <c r="K191" s="29" t="s">
        <v>123</v>
      </c>
      <c r="L191" s="29">
        <v>15</v>
      </c>
      <c r="M191" s="29"/>
      <c r="N191" s="29"/>
      <c r="O191" s="29"/>
      <c r="P191" s="73">
        <f t="shared" si="8"/>
        <v>10397912.396666666</v>
      </c>
      <c r="Q191" s="75" t="s">
        <v>52</v>
      </c>
      <c r="R191"/>
      <c r="S191" s="52">
        <f t="shared" si="11"/>
        <v>19115522.150032002</v>
      </c>
      <c r="U191"/>
      <c r="V191"/>
    </row>
    <row r="192" spans="1:22" s="33" customFormat="1" x14ac:dyDescent="0.25">
      <c r="A192" s="26" t="s">
        <v>81</v>
      </c>
      <c r="B192" s="60" t="s">
        <v>13</v>
      </c>
      <c r="C192" s="60" t="s">
        <v>86</v>
      </c>
      <c r="D192" s="60" t="s">
        <v>198</v>
      </c>
      <c r="E192" s="60">
        <v>2</v>
      </c>
      <c r="F192" s="60" t="s">
        <v>1</v>
      </c>
      <c r="G192" s="72" t="s">
        <v>12</v>
      </c>
      <c r="H192" s="73">
        <v>19873049.73</v>
      </c>
      <c r="I192" s="74">
        <v>1</v>
      </c>
      <c r="J192" s="29">
        <v>1000</v>
      </c>
      <c r="K192" s="29" t="s">
        <v>123</v>
      </c>
      <c r="L192" s="29">
        <v>15</v>
      </c>
      <c r="M192" s="29"/>
      <c r="N192" s="29"/>
      <c r="O192" s="29"/>
      <c r="P192" s="73">
        <f t="shared" si="8"/>
        <v>19873049.73</v>
      </c>
      <c r="Q192" s="75" t="s">
        <v>52</v>
      </c>
      <c r="R192"/>
      <c r="S192" s="52">
        <f t="shared" si="11"/>
        <v>36534614.623631999</v>
      </c>
      <c r="U192"/>
      <c r="V192"/>
    </row>
    <row r="193" spans="1:22" s="33" customFormat="1" x14ac:dyDescent="0.25">
      <c r="A193" s="26" t="s">
        <v>81</v>
      </c>
      <c r="B193" s="60" t="s">
        <v>13</v>
      </c>
      <c r="C193" s="60" t="s">
        <v>86</v>
      </c>
      <c r="D193" s="60" t="s">
        <v>199</v>
      </c>
      <c r="E193" s="60">
        <v>2</v>
      </c>
      <c r="F193" s="60" t="s">
        <v>1</v>
      </c>
      <c r="G193" s="72" t="s">
        <v>12</v>
      </c>
      <c r="H193" s="73">
        <v>28279361.73</v>
      </c>
      <c r="I193" s="74">
        <v>1</v>
      </c>
      <c r="J193" s="29">
        <v>1500</v>
      </c>
      <c r="K193" s="29" t="s">
        <v>123</v>
      </c>
      <c r="L193" s="29">
        <v>15</v>
      </c>
      <c r="M193" s="29"/>
      <c r="N193" s="29"/>
      <c r="O193" s="29"/>
      <c r="P193" s="73">
        <f t="shared" si="8"/>
        <v>28279361.73</v>
      </c>
      <c r="Q193" s="75" t="s">
        <v>52</v>
      </c>
      <c r="R193"/>
      <c r="S193" s="52">
        <f t="shared" si="11"/>
        <v>51988778.604432002</v>
      </c>
      <c r="U193"/>
      <c r="V193"/>
    </row>
    <row r="194" spans="1:22" s="33" customFormat="1" x14ac:dyDescent="0.25">
      <c r="A194" s="26" t="s">
        <v>81</v>
      </c>
      <c r="B194" s="60" t="s">
        <v>13</v>
      </c>
      <c r="C194" s="60" t="s">
        <v>86</v>
      </c>
      <c r="D194" s="60" t="s">
        <v>200</v>
      </c>
      <c r="E194" s="60">
        <v>2</v>
      </c>
      <c r="F194" s="60" t="s">
        <v>1</v>
      </c>
      <c r="G194" s="72" t="s">
        <v>12</v>
      </c>
      <c r="H194" s="73">
        <v>40498028.396666668</v>
      </c>
      <c r="I194" s="74">
        <v>1</v>
      </c>
      <c r="J194" s="29">
        <v>2500</v>
      </c>
      <c r="K194" s="29" t="s">
        <v>123</v>
      </c>
      <c r="L194" s="29">
        <v>15</v>
      </c>
      <c r="M194" s="29"/>
      <c r="N194" s="29"/>
      <c r="O194" s="29"/>
      <c r="P194" s="73">
        <f t="shared" si="8"/>
        <v>40498028.396666668</v>
      </c>
      <c r="Q194" s="75" t="s">
        <v>52</v>
      </c>
      <c r="R194"/>
      <c r="S194" s="52">
        <f t="shared" si="11"/>
        <v>74451575.404431999</v>
      </c>
      <c r="U194"/>
      <c r="V194"/>
    </row>
    <row r="195" spans="1:22" s="33" customFormat="1" x14ac:dyDescent="0.25">
      <c r="A195" s="26" t="s">
        <v>81</v>
      </c>
      <c r="B195" s="60" t="s">
        <v>13</v>
      </c>
      <c r="C195" s="60" t="s">
        <v>86</v>
      </c>
      <c r="D195" s="60" t="s">
        <v>193</v>
      </c>
      <c r="E195" s="60">
        <v>3</v>
      </c>
      <c r="F195" s="60" t="s">
        <v>1</v>
      </c>
      <c r="G195" s="72" t="s">
        <v>12</v>
      </c>
      <c r="H195" s="73">
        <v>10804039.063333334</v>
      </c>
      <c r="I195" s="74">
        <v>1</v>
      </c>
      <c r="J195" s="29">
        <v>500</v>
      </c>
      <c r="K195" s="29" t="s">
        <v>123</v>
      </c>
      <c r="L195" s="29">
        <v>25</v>
      </c>
      <c r="M195" s="29"/>
      <c r="N195" s="29"/>
      <c r="O195" s="29"/>
      <c r="P195" s="73">
        <f t="shared" ref="P195:P202" si="12">+I195*H195</f>
        <v>10804039.063333334</v>
      </c>
      <c r="Q195" s="75" t="s">
        <v>52</v>
      </c>
      <c r="R195"/>
      <c r="S195" s="52">
        <f t="shared" si="11"/>
        <v>19862145.414032001</v>
      </c>
      <c r="U195"/>
      <c r="V195"/>
    </row>
    <row r="196" spans="1:22" s="33" customFormat="1" x14ac:dyDescent="0.25">
      <c r="A196" s="26" t="s">
        <v>81</v>
      </c>
      <c r="B196" s="60" t="s">
        <v>13</v>
      </c>
      <c r="C196" s="60" t="s">
        <v>86</v>
      </c>
      <c r="D196" s="60" t="s">
        <v>194</v>
      </c>
      <c r="E196" s="60">
        <v>3</v>
      </c>
      <c r="F196" s="60" t="s">
        <v>1</v>
      </c>
      <c r="G196" s="72" t="s">
        <v>12</v>
      </c>
      <c r="H196" s="73">
        <v>20685303.063333333</v>
      </c>
      <c r="I196" s="74">
        <v>1</v>
      </c>
      <c r="J196" s="29">
        <v>1000</v>
      </c>
      <c r="K196" s="29" t="s">
        <v>123</v>
      </c>
      <c r="L196" s="29">
        <v>25</v>
      </c>
      <c r="M196" s="29"/>
      <c r="N196" s="29"/>
      <c r="O196" s="29"/>
      <c r="P196" s="73">
        <f t="shared" si="12"/>
        <v>20685303.063333333</v>
      </c>
      <c r="Q196" s="75" t="s">
        <v>52</v>
      </c>
      <c r="R196"/>
      <c r="S196" s="52">
        <f t="shared" si="11"/>
        <v>38027861.151631996</v>
      </c>
      <c r="U196"/>
      <c r="V196"/>
    </row>
    <row r="197" spans="1:22" s="33" customFormat="1" x14ac:dyDescent="0.25">
      <c r="A197" s="26" t="s">
        <v>81</v>
      </c>
      <c r="B197" s="60" t="s">
        <v>13</v>
      </c>
      <c r="C197" s="60" t="s">
        <v>86</v>
      </c>
      <c r="D197" s="60" t="s">
        <v>195</v>
      </c>
      <c r="E197" s="60">
        <v>3</v>
      </c>
      <c r="F197" s="60" t="s">
        <v>1</v>
      </c>
      <c r="G197" s="72" t="s">
        <v>12</v>
      </c>
      <c r="H197" s="73">
        <v>29497741.73</v>
      </c>
      <c r="I197" s="74">
        <v>1</v>
      </c>
      <c r="J197" s="29">
        <v>1500</v>
      </c>
      <c r="K197" s="29" t="s">
        <v>123</v>
      </c>
      <c r="L197" s="29">
        <v>25</v>
      </c>
      <c r="M197" s="29"/>
      <c r="N197" s="29"/>
      <c r="O197" s="29"/>
      <c r="P197" s="73">
        <f t="shared" si="12"/>
        <v>29497741.73</v>
      </c>
      <c r="Q197" s="75" t="s">
        <v>52</v>
      </c>
      <c r="R197"/>
      <c r="S197" s="52">
        <f t="shared" si="11"/>
        <v>54228648.396432005</v>
      </c>
      <c r="U197"/>
      <c r="V197"/>
    </row>
    <row r="198" spans="1:22" s="33" customFormat="1" x14ac:dyDescent="0.25">
      <c r="A198" s="26" t="s">
        <v>81</v>
      </c>
      <c r="B198" s="60" t="s">
        <v>13</v>
      </c>
      <c r="C198" s="60" t="s">
        <v>86</v>
      </c>
      <c r="D198" s="60" t="s">
        <v>196</v>
      </c>
      <c r="E198" s="60">
        <v>3</v>
      </c>
      <c r="F198" s="60" t="s">
        <v>1</v>
      </c>
      <c r="G198" s="72" t="s">
        <v>12</v>
      </c>
      <c r="H198" s="73">
        <v>42528661.729999997</v>
      </c>
      <c r="I198" s="74">
        <v>1</v>
      </c>
      <c r="J198" s="29">
        <v>2500</v>
      </c>
      <c r="K198" s="29" t="s">
        <v>123</v>
      </c>
      <c r="L198" s="29">
        <v>25</v>
      </c>
      <c r="M198" s="29"/>
      <c r="N198" s="29"/>
      <c r="O198" s="29"/>
      <c r="P198" s="73">
        <f t="shared" si="12"/>
        <v>42528661.729999997</v>
      </c>
      <c r="Q198" s="75" t="s">
        <v>52</v>
      </c>
      <c r="R198"/>
      <c r="S198" s="52">
        <f t="shared" si="11"/>
        <v>78184691.724431992</v>
      </c>
      <c r="U198"/>
      <c r="V198"/>
    </row>
    <row r="199" spans="1:22" s="33" customFormat="1" x14ac:dyDescent="0.25">
      <c r="A199" s="26" t="s">
        <v>81</v>
      </c>
      <c r="B199" s="60" t="s">
        <v>13</v>
      </c>
      <c r="C199" s="60" t="s">
        <v>86</v>
      </c>
      <c r="D199" s="60" t="s">
        <v>197</v>
      </c>
      <c r="E199" s="60">
        <v>3</v>
      </c>
      <c r="F199" s="60" t="s">
        <v>1</v>
      </c>
      <c r="G199" s="72" t="s">
        <v>12</v>
      </c>
      <c r="H199" s="73">
        <v>10397912.396666666</v>
      </c>
      <c r="I199" s="74">
        <v>1</v>
      </c>
      <c r="J199" s="29">
        <v>500</v>
      </c>
      <c r="K199" s="29" t="s">
        <v>123</v>
      </c>
      <c r="L199" s="29">
        <v>15</v>
      </c>
      <c r="M199" s="29"/>
      <c r="N199" s="29"/>
      <c r="O199" s="29"/>
      <c r="P199" s="73">
        <f t="shared" si="12"/>
        <v>10397912.396666666</v>
      </c>
      <c r="Q199" s="75" t="s">
        <v>52</v>
      </c>
      <c r="R199"/>
      <c r="S199" s="52">
        <f t="shared" si="11"/>
        <v>19115522.150032002</v>
      </c>
      <c r="U199"/>
      <c r="V199"/>
    </row>
    <row r="200" spans="1:22" s="33" customFormat="1" x14ac:dyDescent="0.25">
      <c r="A200" s="26" t="s">
        <v>81</v>
      </c>
      <c r="B200" s="60" t="s">
        <v>13</v>
      </c>
      <c r="C200" s="60" t="s">
        <v>86</v>
      </c>
      <c r="D200" s="60" t="s">
        <v>198</v>
      </c>
      <c r="E200" s="60">
        <v>3</v>
      </c>
      <c r="F200" s="60" t="s">
        <v>1</v>
      </c>
      <c r="G200" s="72" t="s">
        <v>12</v>
      </c>
      <c r="H200" s="73">
        <v>19873049.73</v>
      </c>
      <c r="I200" s="74">
        <v>1</v>
      </c>
      <c r="J200" s="29">
        <v>1000</v>
      </c>
      <c r="K200" s="29" t="s">
        <v>123</v>
      </c>
      <c r="L200" s="29">
        <v>15</v>
      </c>
      <c r="M200" s="29"/>
      <c r="N200" s="29"/>
      <c r="O200" s="29"/>
      <c r="P200" s="73">
        <f t="shared" si="12"/>
        <v>19873049.73</v>
      </c>
      <c r="Q200" s="75" t="s">
        <v>52</v>
      </c>
      <c r="R200"/>
      <c r="S200" s="52">
        <f t="shared" si="11"/>
        <v>36534614.623631999</v>
      </c>
      <c r="U200"/>
      <c r="V200"/>
    </row>
    <row r="201" spans="1:22" s="33" customFormat="1" x14ac:dyDescent="0.25">
      <c r="A201" s="26" t="s">
        <v>81</v>
      </c>
      <c r="B201" s="60" t="s">
        <v>13</v>
      </c>
      <c r="C201" s="60" t="s">
        <v>86</v>
      </c>
      <c r="D201" s="60" t="s">
        <v>199</v>
      </c>
      <c r="E201" s="60">
        <v>3</v>
      </c>
      <c r="F201" s="60" t="s">
        <v>1</v>
      </c>
      <c r="G201" s="72" t="s">
        <v>12</v>
      </c>
      <c r="H201" s="73">
        <v>28279361.73</v>
      </c>
      <c r="I201" s="74">
        <v>1</v>
      </c>
      <c r="J201" s="29">
        <v>1500</v>
      </c>
      <c r="K201" s="29" t="s">
        <v>123</v>
      </c>
      <c r="L201" s="29">
        <v>15</v>
      </c>
      <c r="M201" s="29"/>
      <c r="N201" s="29"/>
      <c r="O201" s="29"/>
      <c r="P201" s="73">
        <f t="shared" si="12"/>
        <v>28279361.73</v>
      </c>
      <c r="Q201" s="75" t="s">
        <v>52</v>
      </c>
      <c r="R201"/>
      <c r="S201" s="52">
        <f t="shared" si="11"/>
        <v>51988778.604432002</v>
      </c>
      <c r="U201"/>
      <c r="V201"/>
    </row>
    <row r="202" spans="1:22" s="33" customFormat="1" x14ac:dyDescent="0.25">
      <c r="A202" s="26" t="s">
        <v>81</v>
      </c>
      <c r="B202" s="60" t="s">
        <v>13</v>
      </c>
      <c r="C202" s="60" t="s">
        <v>86</v>
      </c>
      <c r="D202" s="60" t="s">
        <v>200</v>
      </c>
      <c r="E202" s="60">
        <v>3</v>
      </c>
      <c r="F202" s="60" t="s">
        <v>1</v>
      </c>
      <c r="G202" s="72" t="s">
        <v>12</v>
      </c>
      <c r="H202" s="73">
        <v>40498028.396666668</v>
      </c>
      <c r="I202" s="74">
        <v>1</v>
      </c>
      <c r="J202" s="29">
        <v>2500</v>
      </c>
      <c r="K202" s="29" t="s">
        <v>123</v>
      </c>
      <c r="L202" s="29">
        <v>15</v>
      </c>
      <c r="M202" s="29"/>
      <c r="N202" s="29"/>
      <c r="O202" s="29"/>
      <c r="P202" s="73">
        <f t="shared" si="12"/>
        <v>40498028.396666668</v>
      </c>
      <c r="Q202" s="75" t="s">
        <v>52</v>
      </c>
      <c r="R202"/>
      <c r="S202" s="52">
        <f t="shared" si="11"/>
        <v>74451575.404431999</v>
      </c>
      <c r="U202"/>
      <c r="V202"/>
    </row>
    <row r="203" spans="1:22" s="33" customFormat="1" x14ac:dyDescent="0.25">
      <c r="A203" s="26" t="s">
        <v>81</v>
      </c>
      <c r="B203" s="60" t="s">
        <v>13</v>
      </c>
      <c r="C203" s="60" t="s">
        <v>87</v>
      </c>
      <c r="D203" s="60" t="s">
        <v>185</v>
      </c>
      <c r="E203" s="60">
        <v>1</v>
      </c>
      <c r="F203" s="60" t="s">
        <v>1</v>
      </c>
      <c r="G203" s="72" t="s">
        <v>12</v>
      </c>
      <c r="H203" s="73">
        <v>6121618.5633333335</v>
      </c>
      <c r="I203" s="74">
        <v>1</v>
      </c>
      <c r="J203" s="29">
        <v>500</v>
      </c>
      <c r="K203" s="29" t="s">
        <v>123</v>
      </c>
      <c r="L203" s="29">
        <v>25</v>
      </c>
      <c r="M203" s="29"/>
      <c r="N203" s="29"/>
      <c r="O203" s="29"/>
      <c r="P203" s="73">
        <f t="shared" si="8"/>
        <v>6121618.5633333335</v>
      </c>
      <c r="Q203" s="75" t="s">
        <v>52</v>
      </c>
      <c r="R203"/>
      <c r="S203" s="52">
        <f t="shared" si="11"/>
        <v>11253983.566832002</v>
      </c>
      <c r="U203"/>
      <c r="V203"/>
    </row>
    <row r="204" spans="1:22" s="33" customFormat="1" x14ac:dyDescent="0.25">
      <c r="A204" s="26" t="s">
        <v>81</v>
      </c>
      <c r="B204" s="60" t="s">
        <v>13</v>
      </c>
      <c r="C204" s="60" t="s">
        <v>87</v>
      </c>
      <c r="D204" s="60" t="s">
        <v>186</v>
      </c>
      <c r="E204" s="60">
        <v>1</v>
      </c>
      <c r="F204" s="60" t="s">
        <v>1</v>
      </c>
      <c r="G204" s="72" t="s">
        <v>12</v>
      </c>
      <c r="H204" s="73">
        <v>11887924.563333333</v>
      </c>
      <c r="I204" s="74">
        <v>1</v>
      </c>
      <c r="J204" s="29">
        <v>1000</v>
      </c>
      <c r="K204" s="29" t="s">
        <v>123</v>
      </c>
      <c r="L204" s="29">
        <v>25</v>
      </c>
      <c r="M204" s="29"/>
      <c r="N204" s="29"/>
      <c r="O204" s="29"/>
      <c r="P204" s="73">
        <f t="shared" si="8"/>
        <v>11887924.563333333</v>
      </c>
      <c r="Q204" s="75" t="s">
        <v>52</v>
      </c>
      <c r="R204"/>
      <c r="S204" s="52">
        <f t="shared" si="11"/>
        <v>21854760.517232001</v>
      </c>
      <c r="U204"/>
      <c r="V204"/>
    </row>
    <row r="205" spans="1:22" s="33" customFormat="1" x14ac:dyDescent="0.25">
      <c r="A205" s="26" t="s">
        <v>81</v>
      </c>
      <c r="B205" s="60" t="s">
        <v>13</v>
      </c>
      <c r="C205" s="60" t="s">
        <v>87</v>
      </c>
      <c r="D205" s="60" t="s">
        <v>187</v>
      </c>
      <c r="E205" s="60">
        <v>1</v>
      </c>
      <c r="F205" s="60" t="s">
        <v>1</v>
      </c>
      <c r="G205" s="72" t="s">
        <v>12</v>
      </c>
      <c r="H205" s="73">
        <v>16484244.979999999</v>
      </c>
      <c r="I205" s="74">
        <v>1</v>
      </c>
      <c r="J205" s="29">
        <v>1500</v>
      </c>
      <c r="K205" s="29" t="s">
        <v>123</v>
      </c>
      <c r="L205" s="29">
        <v>25</v>
      </c>
      <c r="M205" s="29"/>
      <c r="N205" s="29"/>
      <c r="O205" s="29"/>
      <c r="P205" s="73">
        <f t="shared" si="8"/>
        <v>16484244.979999999</v>
      </c>
      <c r="Q205" s="75" t="s">
        <v>52</v>
      </c>
      <c r="R205"/>
      <c r="S205" s="52">
        <f t="shared" si="11"/>
        <v>30304635.971231997</v>
      </c>
      <c r="U205"/>
      <c r="V205"/>
    </row>
    <row r="206" spans="1:22" s="33" customFormat="1" x14ac:dyDescent="0.25">
      <c r="A206" s="26" t="s">
        <v>81</v>
      </c>
      <c r="B206" s="60" t="s">
        <v>13</v>
      </c>
      <c r="C206" s="60" t="s">
        <v>87</v>
      </c>
      <c r="D206" s="60" t="s">
        <v>188</v>
      </c>
      <c r="E206" s="60">
        <v>1</v>
      </c>
      <c r="F206" s="60" t="s">
        <v>1</v>
      </c>
      <c r="G206" s="72" t="s">
        <v>12</v>
      </c>
      <c r="H206" s="73">
        <v>22136370.23</v>
      </c>
      <c r="I206" s="74">
        <v>1</v>
      </c>
      <c r="J206" s="29">
        <v>2500</v>
      </c>
      <c r="K206" s="29" t="s">
        <v>123</v>
      </c>
      <c r="L206" s="29">
        <v>25</v>
      </c>
      <c r="M206" s="29"/>
      <c r="N206" s="29"/>
      <c r="O206" s="29"/>
      <c r="P206" s="73">
        <f t="shared" si="8"/>
        <v>22136370.23</v>
      </c>
      <c r="Q206" s="75" t="s">
        <v>52</v>
      </c>
      <c r="R206"/>
      <c r="S206" s="52">
        <f t="shared" si="11"/>
        <v>40695503.030832</v>
      </c>
      <c r="U206"/>
      <c r="V206"/>
    </row>
    <row r="207" spans="1:22" s="33" customFormat="1" x14ac:dyDescent="0.25">
      <c r="A207" s="26" t="s">
        <v>81</v>
      </c>
      <c r="B207" s="60" t="s">
        <v>13</v>
      </c>
      <c r="C207" s="60" t="s">
        <v>87</v>
      </c>
      <c r="D207" s="60" t="s">
        <v>189</v>
      </c>
      <c r="E207" s="60">
        <v>1</v>
      </c>
      <c r="F207" s="60" t="s">
        <v>1</v>
      </c>
      <c r="G207" s="72" t="s">
        <v>12</v>
      </c>
      <c r="H207" s="73">
        <v>6121618.5633333335</v>
      </c>
      <c r="I207" s="74">
        <v>1</v>
      </c>
      <c r="J207" s="29">
        <v>500</v>
      </c>
      <c r="K207" s="29" t="s">
        <v>123</v>
      </c>
      <c r="L207" s="29">
        <v>15</v>
      </c>
      <c r="M207" s="29"/>
      <c r="N207" s="29"/>
      <c r="O207" s="29"/>
      <c r="P207" s="73">
        <f t="shared" si="8"/>
        <v>6121618.5633333335</v>
      </c>
      <c r="Q207" s="75" t="s">
        <v>52</v>
      </c>
      <c r="R207"/>
      <c r="S207" s="52">
        <f t="shared" si="11"/>
        <v>11253983.566832002</v>
      </c>
      <c r="U207"/>
      <c r="V207"/>
    </row>
    <row r="208" spans="1:22" s="33" customFormat="1" x14ac:dyDescent="0.25">
      <c r="A208" s="26" t="s">
        <v>81</v>
      </c>
      <c r="B208" s="60" t="s">
        <v>13</v>
      </c>
      <c r="C208" s="60" t="s">
        <v>87</v>
      </c>
      <c r="D208" s="60" t="s">
        <v>190</v>
      </c>
      <c r="E208" s="60">
        <v>1</v>
      </c>
      <c r="F208" s="60" t="s">
        <v>1</v>
      </c>
      <c r="G208" s="72" t="s">
        <v>12</v>
      </c>
      <c r="H208" s="73">
        <v>11887924.563333333</v>
      </c>
      <c r="I208" s="74">
        <v>1</v>
      </c>
      <c r="J208" s="29">
        <v>1000</v>
      </c>
      <c r="K208" s="29" t="s">
        <v>123</v>
      </c>
      <c r="L208" s="29">
        <v>15</v>
      </c>
      <c r="M208" s="29"/>
      <c r="N208" s="29"/>
      <c r="O208" s="29"/>
      <c r="P208" s="73">
        <f t="shared" si="8"/>
        <v>11887924.563333333</v>
      </c>
      <c r="Q208" s="75" t="s">
        <v>52</v>
      </c>
      <c r="R208"/>
      <c r="S208" s="52">
        <f t="shared" si="11"/>
        <v>21854760.517232001</v>
      </c>
      <c r="U208"/>
      <c r="V208"/>
    </row>
    <row r="209" spans="1:22" s="33" customFormat="1" x14ac:dyDescent="0.25">
      <c r="A209" s="26" t="s">
        <v>81</v>
      </c>
      <c r="B209" s="60" t="s">
        <v>13</v>
      </c>
      <c r="C209" s="60" t="s">
        <v>87</v>
      </c>
      <c r="D209" s="60" t="s">
        <v>191</v>
      </c>
      <c r="E209" s="60">
        <v>1</v>
      </c>
      <c r="F209" s="60" t="s">
        <v>1</v>
      </c>
      <c r="G209" s="72" t="s">
        <v>12</v>
      </c>
      <c r="H209" s="73">
        <v>16484244.979999999</v>
      </c>
      <c r="I209" s="74">
        <v>1</v>
      </c>
      <c r="J209" s="29">
        <v>1500</v>
      </c>
      <c r="K209" s="29" t="s">
        <v>123</v>
      </c>
      <c r="L209" s="29">
        <v>15</v>
      </c>
      <c r="M209" s="29"/>
      <c r="N209" s="29"/>
      <c r="O209" s="29"/>
      <c r="P209" s="73">
        <f t="shared" si="8"/>
        <v>16484244.979999999</v>
      </c>
      <c r="Q209" s="75" t="s">
        <v>52</v>
      </c>
      <c r="R209"/>
      <c r="S209" s="52">
        <f t="shared" si="11"/>
        <v>30304635.971231997</v>
      </c>
      <c r="U209"/>
      <c r="V209"/>
    </row>
    <row r="210" spans="1:22" s="33" customFormat="1" x14ac:dyDescent="0.25">
      <c r="A210" s="26" t="s">
        <v>81</v>
      </c>
      <c r="B210" s="60" t="s">
        <v>13</v>
      </c>
      <c r="C210" s="60" t="s">
        <v>87</v>
      </c>
      <c r="D210" s="60" t="s">
        <v>192</v>
      </c>
      <c r="E210" s="60">
        <v>1</v>
      </c>
      <c r="F210" s="60" t="s">
        <v>1</v>
      </c>
      <c r="G210" s="72" t="s">
        <v>12</v>
      </c>
      <c r="H210" s="73">
        <v>22136370.23</v>
      </c>
      <c r="I210" s="74">
        <v>1</v>
      </c>
      <c r="J210" s="29">
        <v>2500</v>
      </c>
      <c r="K210" s="29" t="s">
        <v>123</v>
      </c>
      <c r="L210" s="29">
        <v>15</v>
      </c>
      <c r="M210" s="29"/>
      <c r="N210" s="29"/>
      <c r="O210" s="29"/>
      <c r="P210" s="73">
        <f t="shared" si="8"/>
        <v>22136370.23</v>
      </c>
      <c r="Q210" s="75" t="s">
        <v>52</v>
      </c>
      <c r="R210"/>
      <c r="S210" s="52">
        <f t="shared" si="11"/>
        <v>40695503.030832</v>
      </c>
      <c r="U210"/>
      <c r="V210"/>
    </row>
    <row r="211" spans="1:22" s="33" customFormat="1" x14ac:dyDescent="0.25">
      <c r="A211" s="26" t="s">
        <v>81</v>
      </c>
      <c r="B211" s="60" t="s">
        <v>13</v>
      </c>
      <c r="C211" s="60" t="s">
        <v>87</v>
      </c>
      <c r="D211" s="60" t="s">
        <v>193</v>
      </c>
      <c r="E211" s="60">
        <v>2</v>
      </c>
      <c r="F211" s="60" t="s">
        <v>1</v>
      </c>
      <c r="G211" s="72" t="s">
        <v>12</v>
      </c>
      <c r="H211" s="73">
        <v>7111290.5633333335</v>
      </c>
      <c r="I211" s="74">
        <v>1</v>
      </c>
      <c r="J211" s="29">
        <v>500</v>
      </c>
      <c r="K211" s="29" t="s">
        <v>123</v>
      </c>
      <c r="L211" s="29">
        <v>25</v>
      </c>
      <c r="M211" s="29"/>
      <c r="N211" s="29"/>
      <c r="O211" s="29"/>
      <c r="P211" s="73">
        <f t="shared" si="8"/>
        <v>7111290.5633333335</v>
      </c>
      <c r="Q211" s="75" t="s">
        <v>52</v>
      </c>
      <c r="R211"/>
      <c r="S211" s="52">
        <f t="shared" si="11"/>
        <v>13073396.571632002</v>
      </c>
      <c r="U211"/>
      <c r="V211"/>
    </row>
    <row r="212" spans="1:22" s="33" customFormat="1" x14ac:dyDescent="0.25">
      <c r="A212" s="26" t="s">
        <v>81</v>
      </c>
      <c r="B212" s="60" t="s">
        <v>13</v>
      </c>
      <c r="C212" s="60" t="s">
        <v>87</v>
      </c>
      <c r="D212" s="60" t="s">
        <v>194</v>
      </c>
      <c r="E212" s="60">
        <v>2</v>
      </c>
      <c r="F212" s="60" t="s">
        <v>1</v>
      </c>
      <c r="G212" s="72" t="s">
        <v>12</v>
      </c>
      <c r="H212" s="73">
        <v>13654320.563333333</v>
      </c>
      <c r="I212" s="74">
        <v>1</v>
      </c>
      <c r="J212" s="29">
        <v>1000</v>
      </c>
      <c r="K212" s="29" t="s">
        <v>123</v>
      </c>
      <c r="L212" s="29">
        <v>25</v>
      </c>
      <c r="M212" s="29"/>
      <c r="N212" s="29"/>
      <c r="O212" s="29"/>
      <c r="P212" s="73">
        <f t="shared" si="8"/>
        <v>13654320.563333333</v>
      </c>
      <c r="Q212" s="75" t="s">
        <v>52</v>
      </c>
      <c r="R212"/>
      <c r="S212" s="52">
        <f t="shared" si="11"/>
        <v>25102102.923632</v>
      </c>
      <c r="U212"/>
      <c r="V212"/>
    </row>
    <row r="213" spans="1:22" s="33" customFormat="1" x14ac:dyDescent="0.25">
      <c r="A213" s="26" t="s">
        <v>81</v>
      </c>
      <c r="B213" s="60" t="s">
        <v>13</v>
      </c>
      <c r="C213" s="60" t="s">
        <v>87</v>
      </c>
      <c r="D213" s="60" t="s">
        <v>195</v>
      </c>
      <c r="E213" s="60">
        <v>2</v>
      </c>
      <c r="F213" s="60" t="s">
        <v>1</v>
      </c>
      <c r="G213" s="72" t="s">
        <v>12</v>
      </c>
      <c r="H213" s="73">
        <v>18780712.98</v>
      </c>
      <c r="I213" s="74">
        <v>1</v>
      </c>
      <c r="J213" s="29">
        <v>1500</v>
      </c>
      <c r="K213" s="29" t="s">
        <v>123</v>
      </c>
      <c r="L213" s="29">
        <v>25</v>
      </c>
      <c r="M213" s="29"/>
      <c r="N213" s="29"/>
      <c r="O213" s="29"/>
      <c r="P213" s="73">
        <f t="shared" si="8"/>
        <v>18780712.98</v>
      </c>
      <c r="Q213" s="75" t="s">
        <v>52</v>
      </c>
      <c r="R213"/>
      <c r="S213" s="52">
        <f t="shared" si="11"/>
        <v>34526462.742431998</v>
      </c>
      <c r="U213"/>
      <c r="V213"/>
    </row>
    <row r="214" spans="1:22" s="33" customFormat="1" x14ac:dyDescent="0.25">
      <c r="A214" s="26" t="s">
        <v>81</v>
      </c>
      <c r="B214" s="60" t="s">
        <v>13</v>
      </c>
      <c r="C214" s="60" t="s">
        <v>87</v>
      </c>
      <c r="D214" s="60" t="s">
        <v>196</v>
      </c>
      <c r="E214" s="60">
        <v>2</v>
      </c>
      <c r="F214" s="60" t="s">
        <v>1</v>
      </c>
      <c r="G214" s="72" t="s">
        <v>12</v>
      </c>
      <c r="H214" s="73">
        <v>24432838.23</v>
      </c>
      <c r="I214" s="74">
        <v>1</v>
      </c>
      <c r="J214" s="29">
        <v>2500</v>
      </c>
      <c r="K214" s="29" t="s">
        <v>123</v>
      </c>
      <c r="L214" s="29">
        <v>25</v>
      </c>
      <c r="M214" s="29"/>
      <c r="N214" s="29"/>
      <c r="O214" s="29"/>
      <c r="P214" s="73">
        <f t="shared" si="8"/>
        <v>24432838.23</v>
      </c>
      <c r="Q214" s="75" t="s">
        <v>52</v>
      </c>
      <c r="R214"/>
      <c r="S214" s="52">
        <f t="shared" si="11"/>
        <v>44917329.802032009</v>
      </c>
      <c r="U214"/>
      <c r="V214"/>
    </row>
    <row r="215" spans="1:22" s="33" customFormat="1" x14ac:dyDescent="0.25">
      <c r="A215" s="26" t="s">
        <v>81</v>
      </c>
      <c r="B215" s="60" t="s">
        <v>13</v>
      </c>
      <c r="C215" s="60" t="s">
        <v>87</v>
      </c>
      <c r="D215" s="60" t="s">
        <v>197</v>
      </c>
      <c r="E215" s="60">
        <v>2</v>
      </c>
      <c r="F215" s="60" t="s">
        <v>1</v>
      </c>
      <c r="G215" s="72" t="s">
        <v>12</v>
      </c>
      <c r="H215" s="73">
        <v>7111290.5633333335</v>
      </c>
      <c r="I215" s="74">
        <v>1</v>
      </c>
      <c r="J215" s="29">
        <v>500</v>
      </c>
      <c r="K215" s="29" t="s">
        <v>123</v>
      </c>
      <c r="L215" s="29">
        <v>15</v>
      </c>
      <c r="M215" s="29"/>
      <c r="N215" s="29"/>
      <c r="O215" s="29"/>
      <c r="P215" s="73">
        <f t="shared" ref="P215:P310" si="13">+I215*H215</f>
        <v>7111290.5633333335</v>
      </c>
      <c r="Q215" s="75" t="s">
        <v>52</v>
      </c>
      <c r="R215"/>
      <c r="S215" s="52">
        <f t="shared" si="11"/>
        <v>13073396.571632002</v>
      </c>
      <c r="U215"/>
      <c r="V215"/>
    </row>
    <row r="216" spans="1:22" s="33" customFormat="1" x14ac:dyDescent="0.25">
      <c r="A216" s="26" t="s">
        <v>81</v>
      </c>
      <c r="B216" s="60" t="s">
        <v>13</v>
      </c>
      <c r="C216" s="60" t="s">
        <v>87</v>
      </c>
      <c r="D216" s="60" t="s">
        <v>198</v>
      </c>
      <c r="E216" s="60">
        <v>2</v>
      </c>
      <c r="F216" s="60" t="s">
        <v>1</v>
      </c>
      <c r="G216" s="72" t="s">
        <v>12</v>
      </c>
      <c r="H216" s="73">
        <v>13654320.563333333</v>
      </c>
      <c r="I216" s="74">
        <v>1</v>
      </c>
      <c r="J216" s="29">
        <v>1000</v>
      </c>
      <c r="K216" s="29" t="s">
        <v>123</v>
      </c>
      <c r="L216" s="29">
        <v>15</v>
      </c>
      <c r="M216" s="29"/>
      <c r="N216" s="29"/>
      <c r="O216" s="29"/>
      <c r="P216" s="73">
        <f t="shared" si="13"/>
        <v>13654320.563333333</v>
      </c>
      <c r="Q216" s="75" t="s">
        <v>52</v>
      </c>
      <c r="R216"/>
      <c r="S216" s="52">
        <f t="shared" si="11"/>
        <v>25102102.923632</v>
      </c>
      <c r="U216"/>
      <c r="V216"/>
    </row>
    <row r="217" spans="1:22" s="33" customFormat="1" x14ac:dyDescent="0.25">
      <c r="A217" s="26" t="s">
        <v>81</v>
      </c>
      <c r="B217" s="60" t="s">
        <v>13</v>
      </c>
      <c r="C217" s="60" t="s">
        <v>87</v>
      </c>
      <c r="D217" s="60" t="s">
        <v>199</v>
      </c>
      <c r="E217" s="60">
        <v>2</v>
      </c>
      <c r="F217" s="60" t="s">
        <v>1</v>
      </c>
      <c r="G217" s="72" t="s">
        <v>12</v>
      </c>
      <c r="H217" s="73">
        <v>18780712.98</v>
      </c>
      <c r="I217" s="74">
        <v>1</v>
      </c>
      <c r="J217" s="29">
        <v>1500</v>
      </c>
      <c r="K217" s="29" t="s">
        <v>123</v>
      </c>
      <c r="L217" s="29">
        <v>15</v>
      </c>
      <c r="M217" s="29"/>
      <c r="N217" s="29"/>
      <c r="O217" s="29"/>
      <c r="P217" s="73">
        <f t="shared" si="13"/>
        <v>18780712.98</v>
      </c>
      <c r="Q217" s="75" t="s">
        <v>52</v>
      </c>
      <c r="R217"/>
      <c r="S217" s="52">
        <f t="shared" si="11"/>
        <v>34526462.742431998</v>
      </c>
      <c r="U217"/>
      <c r="V217"/>
    </row>
    <row r="218" spans="1:22" s="33" customFormat="1" x14ac:dyDescent="0.25">
      <c r="A218" s="26" t="s">
        <v>81</v>
      </c>
      <c r="B218" s="60" t="s">
        <v>13</v>
      </c>
      <c r="C218" s="60" t="s">
        <v>87</v>
      </c>
      <c r="D218" s="60" t="s">
        <v>200</v>
      </c>
      <c r="E218" s="60">
        <v>2</v>
      </c>
      <c r="F218" s="60" t="s">
        <v>1</v>
      </c>
      <c r="G218" s="72" t="s">
        <v>12</v>
      </c>
      <c r="H218" s="73">
        <v>24432838.23</v>
      </c>
      <c r="I218" s="74">
        <v>1</v>
      </c>
      <c r="J218" s="29">
        <v>2500</v>
      </c>
      <c r="K218" s="29" t="s">
        <v>123</v>
      </c>
      <c r="L218" s="29">
        <v>15</v>
      </c>
      <c r="M218" s="29"/>
      <c r="N218" s="29"/>
      <c r="O218" s="29"/>
      <c r="P218" s="73">
        <f t="shared" si="13"/>
        <v>24432838.23</v>
      </c>
      <c r="Q218" s="75" t="s">
        <v>52</v>
      </c>
      <c r="R218"/>
      <c r="S218" s="52">
        <f t="shared" si="11"/>
        <v>44917329.802032009</v>
      </c>
      <c r="U218"/>
      <c r="V218"/>
    </row>
    <row r="219" spans="1:22" s="33" customFormat="1" x14ac:dyDescent="0.25">
      <c r="A219" s="26" t="s">
        <v>81</v>
      </c>
      <c r="B219" s="60" t="s">
        <v>13</v>
      </c>
      <c r="C219" s="60" t="s">
        <v>87</v>
      </c>
      <c r="D219" s="60" t="s">
        <v>193</v>
      </c>
      <c r="E219" s="60">
        <v>3</v>
      </c>
      <c r="F219" s="60" t="s">
        <v>1</v>
      </c>
      <c r="G219" s="72" t="s">
        <v>12</v>
      </c>
      <c r="H219" s="73">
        <v>7111290.5633333335</v>
      </c>
      <c r="I219" s="74">
        <v>1</v>
      </c>
      <c r="J219" s="29">
        <v>500</v>
      </c>
      <c r="K219" s="29" t="s">
        <v>123</v>
      </c>
      <c r="L219" s="29">
        <v>25</v>
      </c>
      <c r="M219" s="29"/>
      <c r="N219" s="29"/>
      <c r="O219" s="29"/>
      <c r="P219" s="73">
        <f t="shared" si="13"/>
        <v>7111290.5633333335</v>
      </c>
      <c r="Q219" s="75" t="s">
        <v>52</v>
      </c>
      <c r="R219"/>
      <c r="S219" s="52">
        <f t="shared" ref="S219:S250" si="14">+$T$155*H219*12/5</f>
        <v>13073396.571632002</v>
      </c>
      <c r="U219"/>
      <c r="V219"/>
    </row>
    <row r="220" spans="1:22" s="33" customFormat="1" x14ac:dyDescent="0.25">
      <c r="A220" s="26" t="s">
        <v>81</v>
      </c>
      <c r="B220" s="60" t="s">
        <v>13</v>
      </c>
      <c r="C220" s="60" t="s">
        <v>87</v>
      </c>
      <c r="D220" s="60" t="s">
        <v>194</v>
      </c>
      <c r="E220" s="60">
        <v>3</v>
      </c>
      <c r="F220" s="60" t="s">
        <v>1</v>
      </c>
      <c r="G220" s="72" t="s">
        <v>12</v>
      </c>
      <c r="H220" s="73">
        <v>13654320.563333333</v>
      </c>
      <c r="I220" s="74">
        <v>1</v>
      </c>
      <c r="J220" s="29">
        <v>1000</v>
      </c>
      <c r="K220" s="29" t="s">
        <v>123</v>
      </c>
      <c r="L220" s="29">
        <v>25</v>
      </c>
      <c r="M220" s="29"/>
      <c r="N220" s="29"/>
      <c r="O220" s="29"/>
      <c r="P220" s="73">
        <f t="shared" si="13"/>
        <v>13654320.563333333</v>
      </c>
      <c r="Q220" s="75" t="s">
        <v>52</v>
      </c>
      <c r="R220"/>
      <c r="S220" s="52">
        <f t="shared" si="14"/>
        <v>25102102.923632</v>
      </c>
      <c r="U220"/>
      <c r="V220"/>
    </row>
    <row r="221" spans="1:22" s="33" customFormat="1" x14ac:dyDescent="0.25">
      <c r="A221" s="26" t="s">
        <v>81</v>
      </c>
      <c r="B221" s="60" t="s">
        <v>13</v>
      </c>
      <c r="C221" s="60" t="s">
        <v>87</v>
      </c>
      <c r="D221" s="60" t="s">
        <v>195</v>
      </c>
      <c r="E221" s="60">
        <v>3</v>
      </c>
      <c r="F221" s="60" t="s">
        <v>1</v>
      </c>
      <c r="G221" s="72" t="s">
        <v>12</v>
      </c>
      <c r="H221" s="73">
        <v>18780712.98</v>
      </c>
      <c r="I221" s="74">
        <v>1</v>
      </c>
      <c r="J221" s="29">
        <v>1500</v>
      </c>
      <c r="K221" s="29" t="s">
        <v>123</v>
      </c>
      <c r="L221" s="29">
        <v>25</v>
      </c>
      <c r="M221" s="29"/>
      <c r="N221" s="29"/>
      <c r="O221" s="29"/>
      <c r="P221" s="73">
        <f t="shared" si="13"/>
        <v>18780712.98</v>
      </c>
      <c r="Q221" s="75" t="s">
        <v>52</v>
      </c>
      <c r="R221"/>
      <c r="S221" s="52">
        <f t="shared" si="14"/>
        <v>34526462.742431998</v>
      </c>
      <c r="U221"/>
      <c r="V221"/>
    </row>
    <row r="222" spans="1:22" s="33" customFormat="1" x14ac:dyDescent="0.25">
      <c r="A222" s="26" t="s">
        <v>81</v>
      </c>
      <c r="B222" s="60" t="s">
        <v>13</v>
      </c>
      <c r="C222" s="60" t="s">
        <v>87</v>
      </c>
      <c r="D222" s="60" t="s">
        <v>196</v>
      </c>
      <c r="E222" s="60">
        <v>3</v>
      </c>
      <c r="F222" s="60" t="s">
        <v>1</v>
      </c>
      <c r="G222" s="72" t="s">
        <v>12</v>
      </c>
      <c r="H222" s="73">
        <v>24432838.23</v>
      </c>
      <c r="I222" s="74">
        <v>1</v>
      </c>
      <c r="J222" s="29">
        <v>2500</v>
      </c>
      <c r="K222" s="29" t="s">
        <v>123</v>
      </c>
      <c r="L222" s="29">
        <v>25</v>
      </c>
      <c r="M222" s="29"/>
      <c r="N222" s="29"/>
      <c r="O222" s="29"/>
      <c r="P222" s="73">
        <f t="shared" si="13"/>
        <v>24432838.23</v>
      </c>
      <c r="Q222" s="75" t="s">
        <v>52</v>
      </c>
      <c r="R222"/>
      <c r="S222" s="52">
        <f t="shared" si="14"/>
        <v>44917329.802032009</v>
      </c>
      <c r="U222"/>
      <c r="V222"/>
    </row>
    <row r="223" spans="1:22" s="33" customFormat="1" x14ac:dyDescent="0.25">
      <c r="A223" s="26" t="s">
        <v>81</v>
      </c>
      <c r="B223" s="60" t="s">
        <v>13</v>
      </c>
      <c r="C223" s="60" t="s">
        <v>87</v>
      </c>
      <c r="D223" s="60" t="s">
        <v>197</v>
      </c>
      <c r="E223" s="60">
        <v>3</v>
      </c>
      <c r="F223" s="60" t="s">
        <v>1</v>
      </c>
      <c r="G223" s="72" t="s">
        <v>12</v>
      </c>
      <c r="H223" s="73">
        <v>7111290.5633333335</v>
      </c>
      <c r="I223" s="74">
        <v>1</v>
      </c>
      <c r="J223" s="29">
        <v>500</v>
      </c>
      <c r="K223" s="29" t="s">
        <v>123</v>
      </c>
      <c r="L223" s="29">
        <v>15</v>
      </c>
      <c r="M223" s="29"/>
      <c r="N223" s="29"/>
      <c r="O223" s="29"/>
      <c r="P223" s="73">
        <f t="shared" ref="P223:P226" si="15">+I223*H223</f>
        <v>7111290.5633333335</v>
      </c>
      <c r="Q223" s="75" t="s">
        <v>52</v>
      </c>
      <c r="R223"/>
      <c r="S223" s="52">
        <f t="shared" si="14"/>
        <v>13073396.571632002</v>
      </c>
      <c r="U223"/>
      <c r="V223"/>
    </row>
    <row r="224" spans="1:22" s="33" customFormat="1" x14ac:dyDescent="0.25">
      <c r="A224" s="26" t="s">
        <v>81</v>
      </c>
      <c r="B224" s="60" t="s">
        <v>13</v>
      </c>
      <c r="C224" s="60" t="s">
        <v>87</v>
      </c>
      <c r="D224" s="60" t="s">
        <v>198</v>
      </c>
      <c r="E224" s="60">
        <v>3</v>
      </c>
      <c r="F224" s="60" t="s">
        <v>1</v>
      </c>
      <c r="G224" s="72" t="s">
        <v>12</v>
      </c>
      <c r="H224" s="73">
        <v>13654320.563333333</v>
      </c>
      <c r="I224" s="74">
        <v>1</v>
      </c>
      <c r="J224" s="29">
        <v>1000</v>
      </c>
      <c r="K224" s="29" t="s">
        <v>123</v>
      </c>
      <c r="L224" s="29">
        <v>15</v>
      </c>
      <c r="M224" s="29"/>
      <c r="N224" s="29"/>
      <c r="O224" s="29"/>
      <c r="P224" s="73">
        <f t="shared" si="15"/>
        <v>13654320.563333333</v>
      </c>
      <c r="Q224" s="75" t="s">
        <v>52</v>
      </c>
      <c r="R224"/>
      <c r="S224" s="52">
        <f t="shared" si="14"/>
        <v>25102102.923632</v>
      </c>
      <c r="U224"/>
      <c r="V224"/>
    </row>
    <row r="225" spans="1:22" s="33" customFormat="1" x14ac:dyDescent="0.25">
      <c r="A225" s="26" t="s">
        <v>81</v>
      </c>
      <c r="B225" s="60" t="s">
        <v>13</v>
      </c>
      <c r="C225" s="60" t="s">
        <v>87</v>
      </c>
      <c r="D225" s="60" t="s">
        <v>199</v>
      </c>
      <c r="E225" s="60">
        <v>3</v>
      </c>
      <c r="F225" s="60" t="s">
        <v>1</v>
      </c>
      <c r="G225" s="72" t="s">
        <v>12</v>
      </c>
      <c r="H225" s="73">
        <v>18780712.98</v>
      </c>
      <c r="I225" s="74">
        <v>1</v>
      </c>
      <c r="J225" s="29">
        <v>1500</v>
      </c>
      <c r="K225" s="29" t="s">
        <v>123</v>
      </c>
      <c r="L225" s="29">
        <v>15</v>
      </c>
      <c r="M225" s="29"/>
      <c r="N225" s="29"/>
      <c r="O225" s="29"/>
      <c r="P225" s="73">
        <f t="shared" si="15"/>
        <v>18780712.98</v>
      </c>
      <c r="Q225" s="75" t="s">
        <v>52</v>
      </c>
      <c r="R225"/>
      <c r="S225" s="52">
        <f t="shared" si="14"/>
        <v>34526462.742431998</v>
      </c>
      <c r="U225"/>
      <c r="V225"/>
    </row>
    <row r="226" spans="1:22" s="33" customFormat="1" x14ac:dyDescent="0.25">
      <c r="A226" s="26" t="s">
        <v>81</v>
      </c>
      <c r="B226" s="60" t="s">
        <v>13</v>
      </c>
      <c r="C226" s="60" t="s">
        <v>87</v>
      </c>
      <c r="D226" s="60" t="s">
        <v>200</v>
      </c>
      <c r="E226" s="60">
        <v>3</v>
      </c>
      <c r="F226" s="60" t="s">
        <v>1</v>
      </c>
      <c r="G226" s="72" t="s">
        <v>12</v>
      </c>
      <c r="H226" s="73">
        <v>24432838.23</v>
      </c>
      <c r="I226" s="74">
        <v>1</v>
      </c>
      <c r="J226" s="29">
        <v>2500</v>
      </c>
      <c r="K226" s="29" t="s">
        <v>123</v>
      </c>
      <c r="L226" s="29">
        <v>15</v>
      </c>
      <c r="M226" s="29"/>
      <c r="N226" s="29"/>
      <c r="O226" s="29"/>
      <c r="P226" s="73">
        <f t="shared" si="15"/>
        <v>24432838.23</v>
      </c>
      <c r="Q226" s="75" t="s">
        <v>52</v>
      </c>
      <c r="R226"/>
      <c r="S226" s="52">
        <f t="shared" si="14"/>
        <v>44917329.802032009</v>
      </c>
      <c r="U226"/>
      <c r="V226"/>
    </row>
    <row r="227" spans="1:22" s="33" customFormat="1" x14ac:dyDescent="0.25">
      <c r="A227" s="26" t="s">
        <v>81</v>
      </c>
      <c r="B227" s="60" t="s">
        <v>13</v>
      </c>
      <c r="C227" s="60" t="s">
        <v>88</v>
      </c>
      <c r="D227" s="60" t="s">
        <v>185</v>
      </c>
      <c r="E227" s="60">
        <v>1</v>
      </c>
      <c r="F227" s="60" t="s">
        <v>1</v>
      </c>
      <c r="G227" s="72" t="s">
        <v>12</v>
      </c>
      <c r="H227" s="73">
        <v>6691474.0949999997</v>
      </c>
      <c r="I227" s="74">
        <v>1</v>
      </c>
      <c r="J227" s="29">
        <v>500</v>
      </c>
      <c r="K227" s="29" t="s">
        <v>123</v>
      </c>
      <c r="L227" s="29">
        <v>25</v>
      </c>
      <c r="M227" s="29"/>
      <c r="N227" s="29"/>
      <c r="O227" s="29"/>
      <c r="P227" s="73">
        <f t="shared" si="13"/>
        <v>6691474.0949999997</v>
      </c>
      <c r="Q227" s="75" t="s">
        <v>52</v>
      </c>
      <c r="R227"/>
      <c r="S227" s="52">
        <f t="shared" si="14"/>
        <v>12301605.976248</v>
      </c>
      <c r="U227"/>
      <c r="V227"/>
    </row>
    <row r="228" spans="1:22" s="33" customFormat="1" x14ac:dyDescent="0.25">
      <c r="A228" s="26" t="s">
        <v>81</v>
      </c>
      <c r="B228" s="60" t="s">
        <v>13</v>
      </c>
      <c r="C228" s="60" t="s">
        <v>88</v>
      </c>
      <c r="D228" s="60" t="s">
        <v>186</v>
      </c>
      <c r="E228" s="60">
        <v>1</v>
      </c>
      <c r="F228" s="60" t="s">
        <v>1</v>
      </c>
      <c r="G228" s="72" t="s">
        <v>12</v>
      </c>
      <c r="H228" s="73">
        <v>6691474.0949999997</v>
      </c>
      <c r="I228" s="74">
        <v>1</v>
      </c>
      <c r="J228" s="29">
        <v>1000</v>
      </c>
      <c r="K228" s="29" t="s">
        <v>123</v>
      </c>
      <c r="L228" s="29">
        <v>25</v>
      </c>
      <c r="M228" s="29"/>
      <c r="N228" s="29"/>
      <c r="O228" s="29"/>
      <c r="P228" s="73">
        <f t="shared" si="13"/>
        <v>6691474.0949999997</v>
      </c>
      <c r="Q228" s="75" t="s">
        <v>52</v>
      </c>
      <c r="R228"/>
      <c r="S228" s="52">
        <f t="shared" si="14"/>
        <v>12301605.976248</v>
      </c>
      <c r="U228"/>
      <c r="V228"/>
    </row>
    <row r="229" spans="1:22" s="33" customFormat="1" x14ac:dyDescent="0.25">
      <c r="A229" s="26" t="s">
        <v>81</v>
      </c>
      <c r="B229" s="60" t="s">
        <v>13</v>
      </c>
      <c r="C229" s="60" t="s">
        <v>88</v>
      </c>
      <c r="D229" s="60" t="s">
        <v>187</v>
      </c>
      <c r="E229" s="60">
        <v>1</v>
      </c>
      <c r="F229" s="60" t="s">
        <v>1</v>
      </c>
      <c r="G229" s="72" t="s">
        <v>12</v>
      </c>
      <c r="H229" s="73">
        <v>6691474.0949999997</v>
      </c>
      <c r="I229" s="74">
        <v>1</v>
      </c>
      <c r="J229" s="29">
        <v>1500</v>
      </c>
      <c r="K229" s="29" t="s">
        <v>123</v>
      </c>
      <c r="L229" s="29">
        <v>25</v>
      </c>
      <c r="M229" s="29"/>
      <c r="N229" s="29"/>
      <c r="O229" s="29"/>
      <c r="P229" s="73">
        <f t="shared" si="13"/>
        <v>6691474.0949999997</v>
      </c>
      <c r="Q229" s="75" t="s">
        <v>52</v>
      </c>
      <c r="R229"/>
      <c r="S229" s="52">
        <f t="shared" si="14"/>
        <v>12301605.976248</v>
      </c>
      <c r="U229"/>
      <c r="V229"/>
    </row>
    <row r="230" spans="1:22" s="33" customFormat="1" x14ac:dyDescent="0.25">
      <c r="A230" s="26" t="s">
        <v>81</v>
      </c>
      <c r="B230" s="60" t="s">
        <v>13</v>
      </c>
      <c r="C230" s="60" t="s">
        <v>88</v>
      </c>
      <c r="D230" s="60" t="s">
        <v>188</v>
      </c>
      <c r="E230" s="60">
        <v>1</v>
      </c>
      <c r="F230" s="60" t="s">
        <v>1</v>
      </c>
      <c r="G230" s="72" t="s">
        <v>12</v>
      </c>
      <c r="H230" s="73">
        <v>6691474.0949999997</v>
      </c>
      <c r="I230" s="74">
        <v>1</v>
      </c>
      <c r="J230" s="29">
        <v>2500</v>
      </c>
      <c r="K230" s="29" t="s">
        <v>123</v>
      </c>
      <c r="L230" s="29">
        <v>25</v>
      </c>
      <c r="M230" s="29"/>
      <c r="N230" s="29"/>
      <c r="O230" s="29"/>
      <c r="P230" s="73">
        <f t="shared" si="13"/>
        <v>6691474.0949999997</v>
      </c>
      <c r="Q230" s="75" t="s">
        <v>52</v>
      </c>
      <c r="R230"/>
      <c r="S230" s="52">
        <f t="shared" si="14"/>
        <v>12301605.976248</v>
      </c>
      <c r="U230"/>
      <c r="V230"/>
    </row>
    <row r="231" spans="1:22" s="33" customFormat="1" x14ac:dyDescent="0.25">
      <c r="A231" s="26" t="s">
        <v>81</v>
      </c>
      <c r="B231" s="60" t="s">
        <v>13</v>
      </c>
      <c r="C231" s="60" t="s">
        <v>88</v>
      </c>
      <c r="D231" s="60" t="s">
        <v>189</v>
      </c>
      <c r="E231" s="60">
        <v>1</v>
      </c>
      <c r="F231" s="60" t="s">
        <v>1</v>
      </c>
      <c r="G231" s="72" t="s">
        <v>12</v>
      </c>
      <c r="H231" s="73">
        <v>6257369.0949999997</v>
      </c>
      <c r="I231" s="74">
        <v>1</v>
      </c>
      <c r="J231" s="29">
        <v>500</v>
      </c>
      <c r="K231" s="29" t="s">
        <v>123</v>
      </c>
      <c r="L231" s="29">
        <v>15</v>
      </c>
      <c r="M231" s="29"/>
      <c r="N231" s="29"/>
      <c r="O231" s="29"/>
      <c r="P231" s="73">
        <f t="shared" si="13"/>
        <v>6257369.0949999997</v>
      </c>
      <c r="Q231" s="75" t="s">
        <v>52</v>
      </c>
      <c r="R231"/>
      <c r="S231" s="52">
        <f t="shared" si="14"/>
        <v>11503547.344248001</v>
      </c>
      <c r="U231"/>
      <c r="V231"/>
    </row>
    <row r="232" spans="1:22" s="33" customFormat="1" x14ac:dyDescent="0.25">
      <c r="A232" s="26" t="s">
        <v>81</v>
      </c>
      <c r="B232" s="60" t="s">
        <v>13</v>
      </c>
      <c r="C232" s="60" t="s">
        <v>88</v>
      </c>
      <c r="D232" s="60" t="s">
        <v>190</v>
      </c>
      <c r="E232" s="60">
        <v>1</v>
      </c>
      <c r="F232" s="60" t="s">
        <v>1</v>
      </c>
      <c r="G232" s="72" t="s">
        <v>12</v>
      </c>
      <c r="H232" s="73">
        <v>6257369.0949999997</v>
      </c>
      <c r="I232" s="74">
        <v>1</v>
      </c>
      <c r="J232" s="29">
        <v>1000</v>
      </c>
      <c r="K232" s="29" t="s">
        <v>123</v>
      </c>
      <c r="L232" s="29">
        <v>15</v>
      </c>
      <c r="M232" s="29"/>
      <c r="N232" s="29"/>
      <c r="O232" s="29"/>
      <c r="P232" s="73">
        <f t="shared" si="13"/>
        <v>6257369.0949999997</v>
      </c>
      <c r="Q232" s="75" t="s">
        <v>52</v>
      </c>
      <c r="R232"/>
      <c r="S232" s="52">
        <f t="shared" si="14"/>
        <v>11503547.344248001</v>
      </c>
      <c r="U232"/>
      <c r="V232"/>
    </row>
    <row r="233" spans="1:22" s="33" customFormat="1" x14ac:dyDescent="0.25">
      <c r="A233" s="26" t="s">
        <v>81</v>
      </c>
      <c r="B233" s="60" t="s">
        <v>13</v>
      </c>
      <c r="C233" s="60" t="s">
        <v>88</v>
      </c>
      <c r="D233" s="60" t="s">
        <v>191</v>
      </c>
      <c r="E233" s="60">
        <v>1</v>
      </c>
      <c r="F233" s="60" t="s">
        <v>1</v>
      </c>
      <c r="G233" s="72" t="s">
        <v>12</v>
      </c>
      <c r="H233" s="73">
        <v>6257369.0949999997</v>
      </c>
      <c r="I233" s="74">
        <v>1</v>
      </c>
      <c r="J233" s="29">
        <v>1500</v>
      </c>
      <c r="K233" s="29" t="s">
        <v>123</v>
      </c>
      <c r="L233" s="29">
        <v>15</v>
      </c>
      <c r="M233" s="29"/>
      <c r="N233" s="29"/>
      <c r="O233" s="29"/>
      <c r="P233" s="73">
        <f t="shared" si="13"/>
        <v>6257369.0949999997</v>
      </c>
      <c r="Q233" s="75" t="s">
        <v>52</v>
      </c>
      <c r="R233"/>
      <c r="S233" s="52">
        <f t="shared" si="14"/>
        <v>11503547.344248001</v>
      </c>
      <c r="U233"/>
      <c r="V233"/>
    </row>
    <row r="234" spans="1:22" s="33" customFormat="1" x14ac:dyDescent="0.25">
      <c r="A234" s="26" t="s">
        <v>81</v>
      </c>
      <c r="B234" s="60" t="s">
        <v>13</v>
      </c>
      <c r="C234" s="60" t="s">
        <v>88</v>
      </c>
      <c r="D234" s="60" t="s">
        <v>192</v>
      </c>
      <c r="E234" s="60">
        <v>1</v>
      </c>
      <c r="F234" s="60" t="s">
        <v>1</v>
      </c>
      <c r="G234" s="72" t="s">
        <v>12</v>
      </c>
      <c r="H234" s="73">
        <v>6257369.0949999997</v>
      </c>
      <c r="I234" s="74">
        <v>1</v>
      </c>
      <c r="J234" s="29">
        <v>2500</v>
      </c>
      <c r="K234" s="29" t="s">
        <v>123</v>
      </c>
      <c r="L234" s="29">
        <v>15</v>
      </c>
      <c r="M234" s="29"/>
      <c r="N234" s="29"/>
      <c r="O234" s="29"/>
      <c r="P234" s="73">
        <f t="shared" si="13"/>
        <v>6257369.0949999997</v>
      </c>
      <c r="Q234" s="75" t="s">
        <v>52</v>
      </c>
      <c r="R234"/>
      <c r="S234" s="52">
        <f t="shared" si="14"/>
        <v>11503547.344248001</v>
      </c>
      <c r="U234"/>
      <c r="V234"/>
    </row>
    <row r="235" spans="1:22" s="33" customFormat="1" x14ac:dyDescent="0.25">
      <c r="A235" s="26" t="s">
        <v>81</v>
      </c>
      <c r="B235" s="60" t="s">
        <v>13</v>
      </c>
      <c r="C235" s="60" t="s">
        <v>88</v>
      </c>
      <c r="D235" s="60" t="s">
        <v>193</v>
      </c>
      <c r="E235" s="60">
        <v>2</v>
      </c>
      <c r="F235" s="60" t="s">
        <v>1</v>
      </c>
      <c r="G235" s="72" t="s">
        <v>12</v>
      </c>
      <c r="H235" s="73">
        <v>6691474.0949999997</v>
      </c>
      <c r="I235" s="74">
        <v>1</v>
      </c>
      <c r="J235" s="29">
        <v>500</v>
      </c>
      <c r="K235" s="29" t="s">
        <v>123</v>
      </c>
      <c r="L235" s="29">
        <v>25</v>
      </c>
      <c r="M235" s="29"/>
      <c r="N235" s="29"/>
      <c r="O235" s="29"/>
      <c r="P235" s="73">
        <f t="shared" si="13"/>
        <v>6691474.0949999997</v>
      </c>
      <c r="Q235" s="75" t="s">
        <v>52</v>
      </c>
      <c r="R235"/>
      <c r="S235" s="52">
        <f t="shared" si="14"/>
        <v>12301605.976248</v>
      </c>
      <c r="U235"/>
      <c r="V235"/>
    </row>
    <row r="236" spans="1:22" s="33" customFormat="1" x14ac:dyDescent="0.25">
      <c r="A236" s="26" t="s">
        <v>81</v>
      </c>
      <c r="B236" s="60" t="s">
        <v>13</v>
      </c>
      <c r="C236" s="60" t="s">
        <v>88</v>
      </c>
      <c r="D236" s="60" t="s">
        <v>194</v>
      </c>
      <c r="E236" s="60">
        <v>2</v>
      </c>
      <c r="F236" s="60" t="s">
        <v>1</v>
      </c>
      <c r="G236" s="72" t="s">
        <v>12</v>
      </c>
      <c r="H236" s="73">
        <v>6691474.0949999997</v>
      </c>
      <c r="I236" s="74">
        <v>1</v>
      </c>
      <c r="J236" s="29">
        <v>1000</v>
      </c>
      <c r="K236" s="29" t="s">
        <v>123</v>
      </c>
      <c r="L236" s="29">
        <v>25</v>
      </c>
      <c r="M236" s="29"/>
      <c r="N236" s="29"/>
      <c r="O236" s="29"/>
      <c r="P236" s="73">
        <f t="shared" si="13"/>
        <v>6691474.0949999997</v>
      </c>
      <c r="Q236" s="75" t="s">
        <v>52</v>
      </c>
      <c r="R236"/>
      <c r="S236" s="52">
        <f t="shared" si="14"/>
        <v>12301605.976248</v>
      </c>
      <c r="U236"/>
      <c r="V236"/>
    </row>
    <row r="237" spans="1:22" s="33" customFormat="1" x14ac:dyDescent="0.25">
      <c r="A237" s="26" t="s">
        <v>81</v>
      </c>
      <c r="B237" s="60" t="s">
        <v>13</v>
      </c>
      <c r="C237" s="60" t="s">
        <v>88</v>
      </c>
      <c r="D237" s="60" t="s">
        <v>195</v>
      </c>
      <c r="E237" s="60">
        <v>2</v>
      </c>
      <c r="F237" s="60" t="s">
        <v>1</v>
      </c>
      <c r="G237" s="72" t="s">
        <v>12</v>
      </c>
      <c r="H237" s="73">
        <v>6691474.0949999997</v>
      </c>
      <c r="I237" s="74">
        <v>1</v>
      </c>
      <c r="J237" s="29">
        <v>1500</v>
      </c>
      <c r="K237" s="29" t="s">
        <v>123</v>
      </c>
      <c r="L237" s="29">
        <v>25</v>
      </c>
      <c r="M237" s="29"/>
      <c r="N237" s="29"/>
      <c r="O237" s="29"/>
      <c r="P237" s="73">
        <f t="shared" si="13"/>
        <v>6691474.0949999997</v>
      </c>
      <c r="Q237" s="75" t="s">
        <v>52</v>
      </c>
      <c r="R237"/>
      <c r="S237" s="52">
        <f t="shared" si="14"/>
        <v>12301605.976248</v>
      </c>
      <c r="U237"/>
      <c r="V237"/>
    </row>
    <row r="238" spans="1:22" s="33" customFormat="1" x14ac:dyDescent="0.25">
      <c r="A238" s="26" t="s">
        <v>81</v>
      </c>
      <c r="B238" s="60" t="s">
        <v>13</v>
      </c>
      <c r="C238" s="60" t="s">
        <v>88</v>
      </c>
      <c r="D238" s="60" t="s">
        <v>196</v>
      </c>
      <c r="E238" s="60">
        <v>2</v>
      </c>
      <c r="F238" s="60" t="s">
        <v>1</v>
      </c>
      <c r="G238" s="72" t="s">
        <v>12</v>
      </c>
      <c r="H238" s="73">
        <v>6691474.0949999997</v>
      </c>
      <c r="I238" s="74">
        <v>1</v>
      </c>
      <c r="J238" s="29">
        <v>2500</v>
      </c>
      <c r="K238" s="29" t="s">
        <v>123</v>
      </c>
      <c r="L238" s="29">
        <v>25</v>
      </c>
      <c r="M238" s="29"/>
      <c r="N238" s="29"/>
      <c r="O238" s="29"/>
      <c r="P238" s="73">
        <f t="shared" si="13"/>
        <v>6691474.0949999997</v>
      </c>
      <c r="Q238" s="75" t="s">
        <v>52</v>
      </c>
      <c r="R238"/>
      <c r="S238" s="52">
        <f t="shared" si="14"/>
        <v>12301605.976248</v>
      </c>
      <c r="U238"/>
      <c r="V238"/>
    </row>
    <row r="239" spans="1:22" s="33" customFormat="1" x14ac:dyDescent="0.25">
      <c r="A239" s="26" t="s">
        <v>81</v>
      </c>
      <c r="B239" s="60" t="s">
        <v>13</v>
      </c>
      <c r="C239" s="60" t="s">
        <v>88</v>
      </c>
      <c r="D239" s="60" t="s">
        <v>197</v>
      </c>
      <c r="E239" s="60">
        <v>2</v>
      </c>
      <c r="F239" s="60" t="s">
        <v>1</v>
      </c>
      <c r="G239" s="72" t="s">
        <v>12</v>
      </c>
      <c r="H239" s="73">
        <v>6257369.0949999997</v>
      </c>
      <c r="I239" s="74">
        <v>1</v>
      </c>
      <c r="J239" s="29">
        <v>500</v>
      </c>
      <c r="K239" s="29" t="s">
        <v>123</v>
      </c>
      <c r="L239" s="29">
        <v>15</v>
      </c>
      <c r="M239" s="29"/>
      <c r="N239" s="29"/>
      <c r="O239" s="29"/>
      <c r="P239" s="73">
        <f t="shared" si="13"/>
        <v>6257369.0949999997</v>
      </c>
      <c r="Q239" s="75" t="s">
        <v>52</v>
      </c>
      <c r="R239"/>
      <c r="S239" s="52">
        <f t="shared" si="14"/>
        <v>11503547.344248001</v>
      </c>
      <c r="U239"/>
      <c r="V239"/>
    </row>
    <row r="240" spans="1:22" s="33" customFormat="1" x14ac:dyDescent="0.25">
      <c r="A240" s="26" t="s">
        <v>81</v>
      </c>
      <c r="B240" s="60" t="s">
        <v>13</v>
      </c>
      <c r="C240" s="60" t="s">
        <v>88</v>
      </c>
      <c r="D240" s="60" t="s">
        <v>198</v>
      </c>
      <c r="E240" s="60">
        <v>2</v>
      </c>
      <c r="F240" s="60" t="s">
        <v>1</v>
      </c>
      <c r="G240" s="72" t="s">
        <v>12</v>
      </c>
      <c r="H240" s="73">
        <v>6257369.0949999997</v>
      </c>
      <c r="I240" s="74">
        <v>1</v>
      </c>
      <c r="J240" s="29">
        <v>1000</v>
      </c>
      <c r="K240" s="29" t="s">
        <v>123</v>
      </c>
      <c r="L240" s="29">
        <v>15</v>
      </c>
      <c r="M240" s="29"/>
      <c r="N240" s="29"/>
      <c r="O240" s="29"/>
      <c r="P240" s="73">
        <f t="shared" si="13"/>
        <v>6257369.0949999997</v>
      </c>
      <c r="Q240" s="75" t="s">
        <v>52</v>
      </c>
      <c r="R240"/>
      <c r="S240" s="52">
        <f t="shared" si="14"/>
        <v>11503547.344248001</v>
      </c>
      <c r="U240"/>
      <c r="V240"/>
    </row>
    <row r="241" spans="1:22" s="33" customFormat="1" x14ac:dyDescent="0.25">
      <c r="A241" s="26" t="s">
        <v>81</v>
      </c>
      <c r="B241" s="60" t="s">
        <v>13</v>
      </c>
      <c r="C241" s="60" t="s">
        <v>88</v>
      </c>
      <c r="D241" s="60" t="s">
        <v>199</v>
      </c>
      <c r="E241" s="60">
        <v>2</v>
      </c>
      <c r="F241" s="60" t="s">
        <v>1</v>
      </c>
      <c r="G241" s="72" t="s">
        <v>12</v>
      </c>
      <c r="H241" s="73">
        <v>6257369.0949999997</v>
      </c>
      <c r="I241" s="74">
        <v>1</v>
      </c>
      <c r="J241" s="29">
        <v>1500</v>
      </c>
      <c r="K241" s="29" t="s">
        <v>123</v>
      </c>
      <c r="L241" s="29">
        <v>15</v>
      </c>
      <c r="M241" s="29"/>
      <c r="N241" s="29"/>
      <c r="O241" s="29"/>
      <c r="P241" s="73">
        <f t="shared" si="13"/>
        <v>6257369.0949999997</v>
      </c>
      <c r="Q241" s="75" t="s">
        <v>52</v>
      </c>
      <c r="R241"/>
      <c r="S241" s="52">
        <f t="shared" si="14"/>
        <v>11503547.344248001</v>
      </c>
      <c r="U241"/>
      <c r="V241"/>
    </row>
    <row r="242" spans="1:22" s="33" customFormat="1" x14ac:dyDescent="0.25">
      <c r="A242" s="26" t="s">
        <v>81</v>
      </c>
      <c r="B242" s="60" t="s">
        <v>13</v>
      </c>
      <c r="C242" s="60" t="s">
        <v>88</v>
      </c>
      <c r="D242" s="60" t="s">
        <v>200</v>
      </c>
      <c r="E242" s="60">
        <v>2</v>
      </c>
      <c r="F242" s="60" t="s">
        <v>1</v>
      </c>
      <c r="G242" s="72" t="s">
        <v>12</v>
      </c>
      <c r="H242" s="73">
        <v>6257369.0949999997</v>
      </c>
      <c r="I242" s="74">
        <v>1</v>
      </c>
      <c r="J242" s="29">
        <v>2500</v>
      </c>
      <c r="K242" s="29" t="s">
        <v>123</v>
      </c>
      <c r="L242" s="29">
        <v>15</v>
      </c>
      <c r="M242" s="29"/>
      <c r="N242" s="29"/>
      <c r="O242" s="29"/>
      <c r="P242" s="73">
        <f t="shared" si="13"/>
        <v>6257369.0949999997</v>
      </c>
      <c r="Q242" s="75" t="s">
        <v>52</v>
      </c>
      <c r="R242"/>
      <c r="S242" s="52">
        <f t="shared" si="14"/>
        <v>11503547.344248001</v>
      </c>
      <c r="U242"/>
      <c r="V242"/>
    </row>
    <row r="243" spans="1:22" s="33" customFormat="1" x14ac:dyDescent="0.25">
      <c r="A243" s="26" t="s">
        <v>81</v>
      </c>
      <c r="B243" s="60" t="s">
        <v>13</v>
      </c>
      <c r="C243" s="60" t="s">
        <v>88</v>
      </c>
      <c r="D243" s="60" t="s">
        <v>193</v>
      </c>
      <c r="E243" s="60">
        <v>3</v>
      </c>
      <c r="F243" s="60" t="s">
        <v>1</v>
      </c>
      <c r="G243" s="72" t="s">
        <v>12</v>
      </c>
      <c r="H243" s="73">
        <v>6691474.0949999997</v>
      </c>
      <c r="I243" s="74">
        <v>1</v>
      </c>
      <c r="J243" s="29">
        <v>500</v>
      </c>
      <c r="K243" s="29" t="s">
        <v>123</v>
      </c>
      <c r="L243" s="29">
        <v>25</v>
      </c>
      <c r="M243" s="29"/>
      <c r="N243" s="29"/>
      <c r="O243" s="29"/>
      <c r="P243" s="73">
        <f t="shared" ref="P243:P250" si="16">+I243*H243</f>
        <v>6691474.0949999997</v>
      </c>
      <c r="Q243" s="75" t="s">
        <v>52</v>
      </c>
      <c r="R243"/>
      <c r="S243" s="52">
        <f t="shared" si="14"/>
        <v>12301605.976248</v>
      </c>
      <c r="U243"/>
      <c r="V243"/>
    </row>
    <row r="244" spans="1:22" s="33" customFormat="1" x14ac:dyDescent="0.25">
      <c r="A244" s="26" t="s">
        <v>81</v>
      </c>
      <c r="B244" s="60" t="s">
        <v>13</v>
      </c>
      <c r="C244" s="60" t="s">
        <v>88</v>
      </c>
      <c r="D244" s="60" t="s">
        <v>194</v>
      </c>
      <c r="E244" s="60">
        <v>3</v>
      </c>
      <c r="F244" s="60" t="s">
        <v>1</v>
      </c>
      <c r="G244" s="72" t="s">
        <v>12</v>
      </c>
      <c r="H244" s="73">
        <v>6691474.0949999997</v>
      </c>
      <c r="I244" s="74">
        <v>1</v>
      </c>
      <c r="J244" s="29">
        <v>1000</v>
      </c>
      <c r="K244" s="29" t="s">
        <v>123</v>
      </c>
      <c r="L244" s="29">
        <v>25</v>
      </c>
      <c r="M244" s="29"/>
      <c r="N244" s="29"/>
      <c r="O244" s="29"/>
      <c r="P244" s="73">
        <f t="shared" si="16"/>
        <v>6691474.0949999997</v>
      </c>
      <c r="Q244" s="75" t="s">
        <v>52</v>
      </c>
      <c r="R244"/>
      <c r="S244" s="52">
        <f t="shared" si="14"/>
        <v>12301605.976248</v>
      </c>
      <c r="U244"/>
      <c r="V244"/>
    </row>
    <row r="245" spans="1:22" s="33" customFormat="1" x14ac:dyDescent="0.25">
      <c r="A245" s="26" t="s">
        <v>81</v>
      </c>
      <c r="B245" s="60" t="s">
        <v>13</v>
      </c>
      <c r="C245" s="60" t="s">
        <v>88</v>
      </c>
      <c r="D245" s="60" t="s">
        <v>195</v>
      </c>
      <c r="E245" s="60">
        <v>3</v>
      </c>
      <c r="F245" s="60" t="s">
        <v>1</v>
      </c>
      <c r="G245" s="72" t="s">
        <v>12</v>
      </c>
      <c r="H245" s="73">
        <v>6691474.0949999997</v>
      </c>
      <c r="I245" s="74">
        <v>1</v>
      </c>
      <c r="J245" s="29">
        <v>1500</v>
      </c>
      <c r="K245" s="29" t="s">
        <v>123</v>
      </c>
      <c r="L245" s="29">
        <v>25</v>
      </c>
      <c r="M245" s="29"/>
      <c r="N245" s="29"/>
      <c r="O245" s="29"/>
      <c r="P245" s="73">
        <f t="shared" si="16"/>
        <v>6691474.0949999997</v>
      </c>
      <c r="Q245" s="75" t="s">
        <v>52</v>
      </c>
      <c r="R245"/>
      <c r="S245" s="52">
        <f t="shared" si="14"/>
        <v>12301605.976248</v>
      </c>
      <c r="U245"/>
      <c r="V245"/>
    </row>
    <row r="246" spans="1:22" s="33" customFormat="1" x14ac:dyDescent="0.25">
      <c r="A246" s="26" t="s">
        <v>81</v>
      </c>
      <c r="B246" s="60" t="s">
        <v>13</v>
      </c>
      <c r="C246" s="60" t="s">
        <v>88</v>
      </c>
      <c r="D246" s="60" t="s">
        <v>196</v>
      </c>
      <c r="E246" s="60">
        <v>3</v>
      </c>
      <c r="F246" s="60" t="s">
        <v>1</v>
      </c>
      <c r="G246" s="72" t="s">
        <v>12</v>
      </c>
      <c r="H246" s="73">
        <v>6691474.0949999997</v>
      </c>
      <c r="I246" s="74">
        <v>1</v>
      </c>
      <c r="J246" s="29">
        <v>2500</v>
      </c>
      <c r="K246" s="29" t="s">
        <v>123</v>
      </c>
      <c r="L246" s="29">
        <v>25</v>
      </c>
      <c r="M246" s="29"/>
      <c r="N246" s="29"/>
      <c r="O246" s="29"/>
      <c r="P246" s="73">
        <f t="shared" si="16"/>
        <v>6691474.0949999997</v>
      </c>
      <c r="Q246" s="75" t="s">
        <v>52</v>
      </c>
      <c r="R246"/>
      <c r="S246" s="52">
        <f t="shared" si="14"/>
        <v>12301605.976248</v>
      </c>
      <c r="U246"/>
      <c r="V246"/>
    </row>
    <row r="247" spans="1:22" s="33" customFormat="1" x14ac:dyDescent="0.25">
      <c r="A247" s="26" t="s">
        <v>81</v>
      </c>
      <c r="B247" s="60" t="s">
        <v>13</v>
      </c>
      <c r="C247" s="60" t="s">
        <v>88</v>
      </c>
      <c r="D247" s="60" t="s">
        <v>197</v>
      </c>
      <c r="E247" s="60">
        <v>3</v>
      </c>
      <c r="F247" s="60" t="s">
        <v>1</v>
      </c>
      <c r="G247" s="72" t="s">
        <v>12</v>
      </c>
      <c r="H247" s="73">
        <v>6257369.0949999997</v>
      </c>
      <c r="I247" s="74">
        <v>1</v>
      </c>
      <c r="J247" s="29">
        <v>500</v>
      </c>
      <c r="K247" s="29" t="s">
        <v>123</v>
      </c>
      <c r="L247" s="29">
        <v>15</v>
      </c>
      <c r="M247" s="29"/>
      <c r="N247" s="29"/>
      <c r="O247" s="29"/>
      <c r="P247" s="73">
        <f t="shared" si="16"/>
        <v>6257369.0949999997</v>
      </c>
      <c r="Q247" s="75" t="s">
        <v>52</v>
      </c>
      <c r="R247"/>
      <c r="S247" s="52">
        <f t="shared" si="14"/>
        <v>11503547.344248001</v>
      </c>
      <c r="U247"/>
      <c r="V247"/>
    </row>
    <row r="248" spans="1:22" s="33" customFormat="1" x14ac:dyDescent="0.25">
      <c r="A248" s="26" t="s">
        <v>81</v>
      </c>
      <c r="B248" s="60" t="s">
        <v>13</v>
      </c>
      <c r="C248" s="60" t="s">
        <v>88</v>
      </c>
      <c r="D248" s="60" t="s">
        <v>198</v>
      </c>
      <c r="E248" s="60">
        <v>3</v>
      </c>
      <c r="F248" s="60" t="s">
        <v>1</v>
      </c>
      <c r="G248" s="72" t="s">
        <v>12</v>
      </c>
      <c r="H248" s="73">
        <v>6257369.0949999997</v>
      </c>
      <c r="I248" s="74">
        <v>1</v>
      </c>
      <c r="J248" s="29">
        <v>1000</v>
      </c>
      <c r="K248" s="29" t="s">
        <v>123</v>
      </c>
      <c r="L248" s="29">
        <v>15</v>
      </c>
      <c r="M248" s="29"/>
      <c r="N248" s="29"/>
      <c r="O248" s="29"/>
      <c r="P248" s="73">
        <f t="shared" si="16"/>
        <v>6257369.0949999997</v>
      </c>
      <c r="Q248" s="75" t="s">
        <v>52</v>
      </c>
      <c r="R248"/>
      <c r="S248" s="52">
        <f t="shared" si="14"/>
        <v>11503547.344248001</v>
      </c>
      <c r="U248"/>
      <c r="V248"/>
    </row>
    <row r="249" spans="1:22" s="33" customFormat="1" x14ac:dyDescent="0.25">
      <c r="A249" s="26" t="s">
        <v>81</v>
      </c>
      <c r="B249" s="60" t="s">
        <v>13</v>
      </c>
      <c r="C249" s="60" t="s">
        <v>88</v>
      </c>
      <c r="D249" s="60" t="s">
        <v>199</v>
      </c>
      <c r="E249" s="60">
        <v>3</v>
      </c>
      <c r="F249" s="60" t="s">
        <v>1</v>
      </c>
      <c r="G249" s="72" t="s">
        <v>12</v>
      </c>
      <c r="H249" s="73">
        <v>6257369.0949999997</v>
      </c>
      <c r="I249" s="74">
        <v>1</v>
      </c>
      <c r="J249" s="29">
        <v>1500</v>
      </c>
      <c r="K249" s="29" t="s">
        <v>123</v>
      </c>
      <c r="L249" s="29">
        <v>15</v>
      </c>
      <c r="M249" s="29"/>
      <c r="N249" s="29"/>
      <c r="O249" s="29"/>
      <c r="P249" s="73">
        <f t="shared" si="16"/>
        <v>6257369.0949999997</v>
      </c>
      <c r="Q249" s="75" t="s">
        <v>52</v>
      </c>
      <c r="R249"/>
      <c r="S249" s="52">
        <f t="shared" si="14"/>
        <v>11503547.344248001</v>
      </c>
      <c r="U249"/>
      <c r="V249"/>
    </row>
    <row r="250" spans="1:22" s="33" customFormat="1" x14ac:dyDescent="0.25">
      <c r="A250" s="26" t="s">
        <v>81</v>
      </c>
      <c r="B250" s="60" t="s">
        <v>13</v>
      </c>
      <c r="C250" s="60" t="s">
        <v>88</v>
      </c>
      <c r="D250" s="60" t="s">
        <v>200</v>
      </c>
      <c r="E250" s="60">
        <v>3</v>
      </c>
      <c r="F250" s="60" t="s">
        <v>1</v>
      </c>
      <c r="G250" s="72" t="s">
        <v>12</v>
      </c>
      <c r="H250" s="73">
        <v>6257369.0949999997</v>
      </c>
      <c r="I250" s="74">
        <v>1</v>
      </c>
      <c r="J250" s="29">
        <v>2500</v>
      </c>
      <c r="K250" s="29" t="s">
        <v>123</v>
      </c>
      <c r="L250" s="29">
        <v>15</v>
      </c>
      <c r="M250" s="29"/>
      <c r="N250" s="29"/>
      <c r="O250" s="29"/>
      <c r="P250" s="73">
        <f t="shared" si="16"/>
        <v>6257369.0949999997</v>
      </c>
      <c r="Q250" s="75" t="s">
        <v>52</v>
      </c>
      <c r="R250"/>
      <c r="S250" s="52">
        <f t="shared" si="14"/>
        <v>11503547.344248001</v>
      </c>
      <c r="U250"/>
      <c r="V250"/>
    </row>
    <row r="251" spans="1:22" s="33" customFormat="1" x14ac:dyDescent="0.25">
      <c r="A251" s="26" t="s">
        <v>81</v>
      </c>
      <c r="B251" s="60" t="s">
        <v>13</v>
      </c>
      <c r="C251" s="60" t="s">
        <v>89</v>
      </c>
      <c r="D251" s="60" t="s">
        <v>185</v>
      </c>
      <c r="E251" s="60">
        <v>1</v>
      </c>
      <c r="F251" s="60" t="s">
        <v>1</v>
      </c>
      <c r="G251" s="72" t="s">
        <v>12</v>
      </c>
      <c r="H251" s="73">
        <v>5660355.7299999995</v>
      </c>
      <c r="I251" s="74">
        <v>1</v>
      </c>
      <c r="J251" s="29">
        <v>500</v>
      </c>
      <c r="K251" s="29" t="s">
        <v>123</v>
      </c>
      <c r="L251" s="29">
        <v>25</v>
      </c>
      <c r="M251" s="29"/>
      <c r="N251" s="29"/>
      <c r="O251" s="29"/>
      <c r="P251" s="73">
        <f t="shared" si="13"/>
        <v>5660355.7299999995</v>
      </c>
      <c r="Q251" s="75" t="s">
        <v>52</v>
      </c>
      <c r="R251"/>
      <c r="S251" s="52">
        <f t="shared" ref="S251:S274" si="17">+$T$155*H251*12/5</f>
        <v>10405997.974032</v>
      </c>
      <c r="U251"/>
      <c r="V251"/>
    </row>
    <row r="252" spans="1:22" s="33" customFormat="1" x14ac:dyDescent="0.25">
      <c r="A252" s="26" t="s">
        <v>81</v>
      </c>
      <c r="B252" s="60" t="s">
        <v>13</v>
      </c>
      <c r="C252" s="60" t="s">
        <v>89</v>
      </c>
      <c r="D252" s="60" t="s">
        <v>186</v>
      </c>
      <c r="E252" s="60">
        <v>1</v>
      </c>
      <c r="F252" s="60" t="s">
        <v>1</v>
      </c>
      <c r="G252" s="72" t="s">
        <v>12</v>
      </c>
      <c r="H252" s="73">
        <v>10019269.063333333</v>
      </c>
      <c r="I252" s="74">
        <v>1</v>
      </c>
      <c r="J252" s="29">
        <v>1000</v>
      </c>
      <c r="K252" s="29" t="s">
        <v>123</v>
      </c>
      <c r="L252" s="29">
        <v>25</v>
      </c>
      <c r="M252" s="29"/>
      <c r="N252" s="29"/>
      <c r="O252" s="29"/>
      <c r="P252" s="73">
        <f t="shared" si="13"/>
        <v>10019269.063333333</v>
      </c>
      <c r="Q252" s="75" t="s">
        <v>52</v>
      </c>
      <c r="R252"/>
      <c r="S252" s="52">
        <f t="shared" si="17"/>
        <v>18419424.246032</v>
      </c>
      <c r="U252"/>
      <c r="V252"/>
    </row>
    <row r="253" spans="1:22" s="33" customFormat="1" x14ac:dyDescent="0.25">
      <c r="A253" s="26" t="s">
        <v>81</v>
      </c>
      <c r="B253" s="60" t="s">
        <v>13</v>
      </c>
      <c r="C253" s="60" t="s">
        <v>89</v>
      </c>
      <c r="D253" s="60" t="s">
        <v>187</v>
      </c>
      <c r="E253" s="60">
        <v>1</v>
      </c>
      <c r="F253" s="60" t="s">
        <v>1</v>
      </c>
      <c r="G253" s="72" t="s">
        <v>12</v>
      </c>
      <c r="H253" s="73">
        <v>13556009.063333333</v>
      </c>
      <c r="I253" s="74">
        <v>1</v>
      </c>
      <c r="J253" s="29">
        <v>1500</v>
      </c>
      <c r="K253" s="29" t="s">
        <v>123</v>
      </c>
      <c r="L253" s="29">
        <v>25</v>
      </c>
      <c r="M253" s="29"/>
      <c r="N253" s="29"/>
      <c r="O253" s="29"/>
      <c r="P253" s="73">
        <f t="shared" si="13"/>
        <v>13556009.063333333</v>
      </c>
      <c r="Q253" s="75" t="s">
        <v>52</v>
      </c>
      <c r="R253"/>
      <c r="S253" s="52">
        <f t="shared" si="17"/>
        <v>24921367.062032003</v>
      </c>
      <c r="U253"/>
      <c r="V253"/>
    </row>
    <row r="254" spans="1:22" s="33" customFormat="1" x14ac:dyDescent="0.25">
      <c r="A254" s="26" t="s">
        <v>81</v>
      </c>
      <c r="B254" s="60" t="s">
        <v>13</v>
      </c>
      <c r="C254" s="60" t="s">
        <v>89</v>
      </c>
      <c r="D254" s="60" t="s">
        <v>188</v>
      </c>
      <c r="E254" s="60">
        <v>1</v>
      </c>
      <c r="F254" s="60" t="s">
        <v>1</v>
      </c>
      <c r="G254" s="72" t="s">
        <v>12</v>
      </c>
      <c r="H254" s="73">
        <v>17629009.063333333</v>
      </c>
      <c r="I254" s="74">
        <v>1</v>
      </c>
      <c r="J254" s="29">
        <v>2500</v>
      </c>
      <c r="K254" s="29" t="s">
        <v>123</v>
      </c>
      <c r="L254" s="29">
        <v>25</v>
      </c>
      <c r="M254" s="29"/>
      <c r="N254" s="29"/>
      <c r="O254" s="29"/>
      <c r="P254" s="73">
        <f t="shared" si="13"/>
        <v>17629009.063333333</v>
      </c>
      <c r="Q254" s="75" t="s">
        <v>52</v>
      </c>
      <c r="R254"/>
      <c r="S254" s="52">
        <f t="shared" si="17"/>
        <v>32409170.262032002</v>
      </c>
      <c r="U254"/>
      <c r="V254"/>
    </row>
    <row r="255" spans="1:22" s="33" customFormat="1" x14ac:dyDescent="0.25">
      <c r="A255" s="26" t="s">
        <v>81</v>
      </c>
      <c r="B255" s="60" t="s">
        <v>13</v>
      </c>
      <c r="C255" s="60" t="s">
        <v>89</v>
      </c>
      <c r="D255" s="60" t="s">
        <v>189</v>
      </c>
      <c r="E255" s="60">
        <v>1</v>
      </c>
      <c r="F255" s="60" t="s">
        <v>1</v>
      </c>
      <c r="G255" s="72" t="s">
        <v>12</v>
      </c>
      <c r="H255" s="73">
        <v>5660355.7299999995</v>
      </c>
      <c r="I255" s="74">
        <v>1</v>
      </c>
      <c r="J255" s="29">
        <v>500</v>
      </c>
      <c r="K255" s="29" t="s">
        <v>123</v>
      </c>
      <c r="L255" s="29">
        <v>15</v>
      </c>
      <c r="M255" s="29"/>
      <c r="N255" s="29"/>
      <c r="O255" s="29"/>
      <c r="P255" s="73">
        <f t="shared" si="13"/>
        <v>5660355.7299999995</v>
      </c>
      <c r="Q255" s="75" t="s">
        <v>52</v>
      </c>
      <c r="R255"/>
      <c r="S255" s="52">
        <f t="shared" si="17"/>
        <v>10405997.974032</v>
      </c>
      <c r="U255"/>
      <c r="V255"/>
    </row>
    <row r="256" spans="1:22" s="33" customFormat="1" x14ac:dyDescent="0.25">
      <c r="A256" s="26" t="s">
        <v>81</v>
      </c>
      <c r="B256" s="60" t="s">
        <v>13</v>
      </c>
      <c r="C256" s="60" t="s">
        <v>89</v>
      </c>
      <c r="D256" s="60" t="s">
        <v>190</v>
      </c>
      <c r="E256" s="60">
        <v>1</v>
      </c>
      <c r="F256" s="60" t="s">
        <v>1</v>
      </c>
      <c r="G256" s="72" t="s">
        <v>12</v>
      </c>
      <c r="H256" s="73">
        <v>10019269.063333333</v>
      </c>
      <c r="I256" s="74">
        <v>1</v>
      </c>
      <c r="J256" s="29">
        <v>1000</v>
      </c>
      <c r="K256" s="29" t="s">
        <v>123</v>
      </c>
      <c r="L256" s="29">
        <v>15</v>
      </c>
      <c r="M256" s="29"/>
      <c r="N256" s="29"/>
      <c r="O256" s="29"/>
      <c r="P256" s="73">
        <f t="shared" si="13"/>
        <v>10019269.063333333</v>
      </c>
      <c r="Q256" s="75" t="s">
        <v>52</v>
      </c>
      <c r="R256"/>
      <c r="S256" s="52">
        <f t="shared" si="17"/>
        <v>18419424.246032</v>
      </c>
      <c r="U256"/>
      <c r="V256"/>
    </row>
    <row r="257" spans="1:22" s="33" customFormat="1" x14ac:dyDescent="0.25">
      <c r="A257" s="26" t="s">
        <v>81</v>
      </c>
      <c r="B257" s="60" t="s">
        <v>13</v>
      </c>
      <c r="C257" s="60" t="s">
        <v>89</v>
      </c>
      <c r="D257" s="60" t="s">
        <v>191</v>
      </c>
      <c r="E257" s="60">
        <v>1</v>
      </c>
      <c r="F257" s="60" t="s">
        <v>1</v>
      </c>
      <c r="G257" s="72" t="s">
        <v>12</v>
      </c>
      <c r="H257" s="73">
        <v>13556009.063333333</v>
      </c>
      <c r="I257" s="74">
        <v>1</v>
      </c>
      <c r="J257" s="29">
        <v>1500</v>
      </c>
      <c r="K257" s="29" t="s">
        <v>123</v>
      </c>
      <c r="L257" s="29">
        <v>15</v>
      </c>
      <c r="M257" s="29"/>
      <c r="N257" s="29"/>
      <c r="O257" s="29"/>
      <c r="P257" s="73">
        <f t="shared" si="13"/>
        <v>13556009.063333333</v>
      </c>
      <c r="Q257" s="75" t="s">
        <v>52</v>
      </c>
      <c r="R257"/>
      <c r="S257" s="52">
        <f t="shared" si="17"/>
        <v>24921367.062032003</v>
      </c>
      <c r="U257"/>
      <c r="V257"/>
    </row>
    <row r="258" spans="1:22" s="33" customFormat="1" x14ac:dyDescent="0.25">
      <c r="A258" s="26" t="s">
        <v>81</v>
      </c>
      <c r="B258" s="60" t="s">
        <v>13</v>
      </c>
      <c r="C258" s="60" t="s">
        <v>89</v>
      </c>
      <c r="D258" s="60" t="s">
        <v>192</v>
      </c>
      <c r="E258" s="60">
        <v>1</v>
      </c>
      <c r="F258" s="60" t="s">
        <v>1</v>
      </c>
      <c r="G258" s="72" t="s">
        <v>12</v>
      </c>
      <c r="H258" s="73">
        <v>17629009.063333333</v>
      </c>
      <c r="I258" s="74">
        <v>1</v>
      </c>
      <c r="J258" s="29">
        <v>2500</v>
      </c>
      <c r="K258" s="29" t="s">
        <v>123</v>
      </c>
      <c r="L258" s="29">
        <v>15</v>
      </c>
      <c r="M258" s="29"/>
      <c r="N258" s="29"/>
      <c r="O258" s="29"/>
      <c r="P258" s="73">
        <f t="shared" si="13"/>
        <v>17629009.063333333</v>
      </c>
      <c r="Q258" s="75" t="s">
        <v>52</v>
      </c>
      <c r="R258"/>
      <c r="S258" s="52">
        <f t="shared" si="17"/>
        <v>32409170.262032002</v>
      </c>
      <c r="U258"/>
      <c r="V258"/>
    </row>
    <row r="259" spans="1:22" s="33" customFormat="1" x14ac:dyDescent="0.25">
      <c r="A259" s="26" t="s">
        <v>81</v>
      </c>
      <c r="B259" s="60" t="s">
        <v>13</v>
      </c>
      <c r="C259" s="60" t="s">
        <v>89</v>
      </c>
      <c r="D259" s="60" t="s">
        <v>193</v>
      </c>
      <c r="E259" s="60">
        <v>2</v>
      </c>
      <c r="F259" s="60" t="s">
        <v>1</v>
      </c>
      <c r="G259" s="72" t="s">
        <v>12</v>
      </c>
      <c r="H259" s="73">
        <v>6650027.7299999995</v>
      </c>
      <c r="I259" s="74">
        <v>1</v>
      </c>
      <c r="J259" s="29">
        <v>500</v>
      </c>
      <c r="K259" s="29" t="s">
        <v>123</v>
      </c>
      <c r="L259" s="29">
        <v>25</v>
      </c>
      <c r="M259" s="29"/>
      <c r="N259" s="29"/>
      <c r="O259" s="29"/>
      <c r="P259" s="73">
        <f t="shared" si="13"/>
        <v>6650027.7299999995</v>
      </c>
      <c r="Q259" s="75" t="s">
        <v>52</v>
      </c>
      <c r="R259"/>
      <c r="S259" s="52">
        <f t="shared" si="17"/>
        <v>12225410.978832001</v>
      </c>
      <c r="U259"/>
      <c r="V259"/>
    </row>
    <row r="260" spans="1:22" s="33" customFormat="1" x14ac:dyDescent="0.25">
      <c r="A260" s="26" t="s">
        <v>81</v>
      </c>
      <c r="B260" s="60" t="s">
        <v>13</v>
      </c>
      <c r="C260" s="60" t="s">
        <v>89</v>
      </c>
      <c r="D260" s="60" t="s">
        <v>194</v>
      </c>
      <c r="E260" s="60">
        <v>2</v>
      </c>
      <c r="F260" s="60" t="s">
        <v>1</v>
      </c>
      <c r="G260" s="72" t="s">
        <v>12</v>
      </c>
      <c r="H260" s="73">
        <v>11785665.063333333</v>
      </c>
      <c r="I260" s="74">
        <v>1</v>
      </c>
      <c r="J260" s="29">
        <v>1000</v>
      </c>
      <c r="K260" s="29" t="s">
        <v>123</v>
      </c>
      <c r="L260" s="29">
        <v>25</v>
      </c>
      <c r="M260" s="29"/>
      <c r="N260" s="29"/>
      <c r="O260" s="29"/>
      <c r="P260" s="73">
        <f t="shared" si="13"/>
        <v>11785665.063333333</v>
      </c>
      <c r="Q260" s="75" t="s">
        <v>52</v>
      </c>
      <c r="R260"/>
      <c r="S260" s="52">
        <f t="shared" si="17"/>
        <v>21666766.652432002</v>
      </c>
      <c r="U260"/>
      <c r="V260"/>
    </row>
    <row r="261" spans="1:22" s="33" customFormat="1" x14ac:dyDescent="0.25">
      <c r="A261" s="26" t="s">
        <v>81</v>
      </c>
      <c r="B261" s="60" t="s">
        <v>13</v>
      </c>
      <c r="C261" s="60" t="s">
        <v>89</v>
      </c>
      <c r="D261" s="60" t="s">
        <v>195</v>
      </c>
      <c r="E261" s="60">
        <v>2</v>
      </c>
      <c r="F261" s="60" t="s">
        <v>1</v>
      </c>
      <c r="G261" s="72" t="s">
        <v>12</v>
      </c>
      <c r="H261" s="73">
        <v>15852477.063333333</v>
      </c>
      <c r="I261" s="74">
        <v>1</v>
      </c>
      <c r="J261" s="29">
        <v>1500</v>
      </c>
      <c r="K261" s="29" t="s">
        <v>123</v>
      </c>
      <c r="L261" s="29">
        <v>25</v>
      </c>
      <c r="M261" s="29"/>
      <c r="N261" s="29"/>
      <c r="O261" s="29"/>
      <c r="P261" s="73">
        <f t="shared" si="13"/>
        <v>15852477.063333333</v>
      </c>
      <c r="Q261" s="75" t="s">
        <v>52</v>
      </c>
      <c r="R261"/>
      <c r="S261" s="52">
        <f t="shared" si="17"/>
        <v>29143193.833231997</v>
      </c>
      <c r="U261"/>
      <c r="V261"/>
    </row>
    <row r="262" spans="1:22" s="33" customFormat="1" x14ac:dyDescent="0.25">
      <c r="A262" s="26" t="s">
        <v>81</v>
      </c>
      <c r="B262" s="60" t="s">
        <v>13</v>
      </c>
      <c r="C262" s="60" t="s">
        <v>89</v>
      </c>
      <c r="D262" s="60" t="s">
        <v>196</v>
      </c>
      <c r="E262" s="60">
        <v>2</v>
      </c>
      <c r="F262" s="60" t="s">
        <v>1</v>
      </c>
      <c r="G262" s="72" t="s">
        <v>12</v>
      </c>
      <c r="H262" s="73">
        <v>19925477.063333333</v>
      </c>
      <c r="I262" s="74">
        <v>1</v>
      </c>
      <c r="J262" s="29">
        <v>2500</v>
      </c>
      <c r="K262" s="29" t="s">
        <v>123</v>
      </c>
      <c r="L262" s="29">
        <v>25</v>
      </c>
      <c r="M262" s="29"/>
      <c r="N262" s="29"/>
      <c r="O262" s="29"/>
      <c r="P262" s="73">
        <f t="shared" si="13"/>
        <v>19925477.063333333</v>
      </c>
      <c r="Q262" s="75" t="s">
        <v>52</v>
      </c>
      <c r="R262"/>
      <c r="S262" s="52">
        <f t="shared" si="17"/>
        <v>36630997.033231996</v>
      </c>
      <c r="U262"/>
      <c r="V262"/>
    </row>
    <row r="263" spans="1:22" s="33" customFormat="1" x14ac:dyDescent="0.25">
      <c r="A263" s="26" t="s">
        <v>81</v>
      </c>
      <c r="B263" s="60" t="s">
        <v>13</v>
      </c>
      <c r="C263" s="60" t="s">
        <v>89</v>
      </c>
      <c r="D263" s="60" t="s">
        <v>197</v>
      </c>
      <c r="E263" s="60">
        <v>2</v>
      </c>
      <c r="F263" s="60" t="s">
        <v>1</v>
      </c>
      <c r="G263" s="72" t="s">
        <v>12</v>
      </c>
      <c r="H263" s="73">
        <v>6650027.7299999995</v>
      </c>
      <c r="I263" s="74">
        <v>1</v>
      </c>
      <c r="J263" s="29">
        <v>500</v>
      </c>
      <c r="K263" s="29" t="s">
        <v>123</v>
      </c>
      <c r="L263" s="29">
        <v>15</v>
      </c>
      <c r="M263" s="29"/>
      <c r="N263" s="29"/>
      <c r="O263" s="29"/>
      <c r="P263" s="73">
        <f t="shared" si="13"/>
        <v>6650027.7299999995</v>
      </c>
      <c r="Q263" s="75" t="s">
        <v>52</v>
      </c>
      <c r="R263"/>
      <c r="S263" s="52">
        <f t="shared" si="17"/>
        <v>12225410.978832001</v>
      </c>
      <c r="U263"/>
      <c r="V263"/>
    </row>
    <row r="264" spans="1:22" s="33" customFormat="1" x14ac:dyDescent="0.25">
      <c r="A264" s="26" t="s">
        <v>81</v>
      </c>
      <c r="B264" s="60" t="s">
        <v>13</v>
      </c>
      <c r="C264" s="60" t="s">
        <v>89</v>
      </c>
      <c r="D264" s="60" t="s">
        <v>198</v>
      </c>
      <c r="E264" s="60">
        <v>2</v>
      </c>
      <c r="F264" s="60" t="s">
        <v>1</v>
      </c>
      <c r="G264" s="72" t="s">
        <v>12</v>
      </c>
      <c r="H264" s="73">
        <v>11785665.063333333</v>
      </c>
      <c r="I264" s="74">
        <v>1</v>
      </c>
      <c r="J264" s="29">
        <v>1000</v>
      </c>
      <c r="K264" s="29" t="s">
        <v>123</v>
      </c>
      <c r="L264" s="29">
        <v>15</v>
      </c>
      <c r="M264" s="29"/>
      <c r="N264" s="29"/>
      <c r="O264" s="29"/>
      <c r="P264" s="73">
        <f t="shared" si="13"/>
        <v>11785665.063333333</v>
      </c>
      <c r="Q264" s="75" t="s">
        <v>52</v>
      </c>
      <c r="R264"/>
      <c r="S264" s="52">
        <f t="shared" si="17"/>
        <v>21666766.652432002</v>
      </c>
      <c r="U264"/>
      <c r="V264"/>
    </row>
    <row r="265" spans="1:22" s="33" customFormat="1" x14ac:dyDescent="0.25">
      <c r="A265" s="26" t="s">
        <v>81</v>
      </c>
      <c r="B265" s="60" t="s">
        <v>13</v>
      </c>
      <c r="C265" s="60" t="s">
        <v>89</v>
      </c>
      <c r="D265" s="60" t="s">
        <v>199</v>
      </c>
      <c r="E265" s="60">
        <v>2</v>
      </c>
      <c r="F265" s="60" t="s">
        <v>1</v>
      </c>
      <c r="G265" s="72" t="s">
        <v>12</v>
      </c>
      <c r="H265" s="73">
        <v>15852477.063333333</v>
      </c>
      <c r="I265" s="74">
        <v>1</v>
      </c>
      <c r="J265" s="29">
        <v>1500</v>
      </c>
      <c r="K265" s="29" t="s">
        <v>123</v>
      </c>
      <c r="L265" s="29">
        <v>15</v>
      </c>
      <c r="M265" s="29"/>
      <c r="N265" s="29"/>
      <c r="O265" s="29"/>
      <c r="P265" s="73">
        <f t="shared" si="13"/>
        <v>15852477.063333333</v>
      </c>
      <c r="Q265" s="75" t="s">
        <v>52</v>
      </c>
      <c r="R265"/>
      <c r="S265" s="52">
        <f t="shared" si="17"/>
        <v>29143193.833231997</v>
      </c>
      <c r="U265"/>
      <c r="V265"/>
    </row>
    <row r="266" spans="1:22" s="33" customFormat="1" x14ac:dyDescent="0.25">
      <c r="A266" s="26" t="s">
        <v>81</v>
      </c>
      <c r="B266" s="60" t="s">
        <v>13</v>
      </c>
      <c r="C266" s="60" t="s">
        <v>89</v>
      </c>
      <c r="D266" s="60" t="s">
        <v>200</v>
      </c>
      <c r="E266" s="60">
        <v>2</v>
      </c>
      <c r="F266" s="60" t="s">
        <v>1</v>
      </c>
      <c r="G266" s="72" t="s">
        <v>12</v>
      </c>
      <c r="H266" s="73">
        <v>19925477.063333333</v>
      </c>
      <c r="I266" s="74">
        <v>1</v>
      </c>
      <c r="J266" s="29">
        <v>2500</v>
      </c>
      <c r="K266" s="29" t="s">
        <v>123</v>
      </c>
      <c r="L266" s="29">
        <v>15</v>
      </c>
      <c r="M266" s="29"/>
      <c r="N266" s="29"/>
      <c r="O266" s="29"/>
      <c r="P266" s="73">
        <f t="shared" si="13"/>
        <v>19925477.063333333</v>
      </c>
      <c r="Q266" s="75" t="s">
        <v>52</v>
      </c>
      <c r="R266"/>
      <c r="S266" s="52">
        <f t="shared" si="17"/>
        <v>36630997.033231996</v>
      </c>
      <c r="U266"/>
      <c r="V266"/>
    </row>
    <row r="267" spans="1:22" s="33" customFormat="1" x14ac:dyDescent="0.25">
      <c r="A267" s="26" t="s">
        <v>81</v>
      </c>
      <c r="B267" s="60" t="s">
        <v>13</v>
      </c>
      <c r="C267" s="60" t="s">
        <v>89</v>
      </c>
      <c r="D267" s="60" t="s">
        <v>193</v>
      </c>
      <c r="E267" s="60">
        <v>3</v>
      </c>
      <c r="F267" s="60" t="s">
        <v>1</v>
      </c>
      <c r="G267" s="72" t="s">
        <v>12</v>
      </c>
      <c r="H267" s="73">
        <v>6650027.7299999995</v>
      </c>
      <c r="I267" s="74">
        <v>1</v>
      </c>
      <c r="J267" s="29">
        <v>500</v>
      </c>
      <c r="K267" s="29" t="s">
        <v>123</v>
      </c>
      <c r="L267" s="29">
        <v>25</v>
      </c>
      <c r="M267" s="29"/>
      <c r="N267" s="29"/>
      <c r="O267" s="29"/>
      <c r="P267" s="73">
        <f t="shared" ref="P267:P274" si="18">+I267*H267</f>
        <v>6650027.7299999995</v>
      </c>
      <c r="Q267" s="75" t="s">
        <v>52</v>
      </c>
      <c r="R267"/>
      <c r="S267" s="52">
        <f t="shared" si="17"/>
        <v>12225410.978832001</v>
      </c>
      <c r="U267"/>
      <c r="V267"/>
    </row>
    <row r="268" spans="1:22" s="33" customFormat="1" x14ac:dyDescent="0.25">
      <c r="A268" s="26" t="s">
        <v>81</v>
      </c>
      <c r="B268" s="60" t="s">
        <v>13</v>
      </c>
      <c r="C268" s="60" t="s">
        <v>89</v>
      </c>
      <c r="D268" s="60" t="s">
        <v>194</v>
      </c>
      <c r="E268" s="60">
        <v>3</v>
      </c>
      <c r="F268" s="60" t="s">
        <v>1</v>
      </c>
      <c r="G268" s="72" t="s">
        <v>12</v>
      </c>
      <c r="H268" s="73">
        <v>11785665.063333333</v>
      </c>
      <c r="I268" s="74">
        <v>1</v>
      </c>
      <c r="J268" s="29">
        <v>1000</v>
      </c>
      <c r="K268" s="29" t="s">
        <v>123</v>
      </c>
      <c r="L268" s="29">
        <v>25</v>
      </c>
      <c r="M268" s="29"/>
      <c r="N268" s="29"/>
      <c r="O268" s="29"/>
      <c r="P268" s="73">
        <f t="shared" si="18"/>
        <v>11785665.063333333</v>
      </c>
      <c r="Q268" s="75" t="s">
        <v>52</v>
      </c>
      <c r="R268"/>
      <c r="S268" s="52">
        <f t="shared" si="17"/>
        <v>21666766.652432002</v>
      </c>
      <c r="U268"/>
      <c r="V268"/>
    </row>
    <row r="269" spans="1:22" s="33" customFormat="1" x14ac:dyDescent="0.25">
      <c r="A269" s="26" t="s">
        <v>81</v>
      </c>
      <c r="B269" s="60" t="s">
        <v>13</v>
      </c>
      <c r="C269" s="60" t="s">
        <v>89</v>
      </c>
      <c r="D269" s="60" t="s">
        <v>195</v>
      </c>
      <c r="E269" s="60">
        <v>3</v>
      </c>
      <c r="F269" s="60" t="s">
        <v>1</v>
      </c>
      <c r="G269" s="72" t="s">
        <v>12</v>
      </c>
      <c r="H269" s="73">
        <v>15852477.063333333</v>
      </c>
      <c r="I269" s="74">
        <v>1</v>
      </c>
      <c r="J269" s="29">
        <v>1500</v>
      </c>
      <c r="K269" s="29" t="s">
        <v>123</v>
      </c>
      <c r="L269" s="29">
        <v>25</v>
      </c>
      <c r="M269" s="29"/>
      <c r="N269" s="29"/>
      <c r="O269" s="29"/>
      <c r="P269" s="73">
        <f t="shared" si="18"/>
        <v>15852477.063333333</v>
      </c>
      <c r="Q269" s="75" t="s">
        <v>52</v>
      </c>
      <c r="R269"/>
      <c r="S269" s="52">
        <f t="shared" si="17"/>
        <v>29143193.833231997</v>
      </c>
      <c r="U269"/>
      <c r="V269"/>
    </row>
    <row r="270" spans="1:22" s="33" customFormat="1" x14ac:dyDescent="0.25">
      <c r="A270" s="26" t="s">
        <v>81</v>
      </c>
      <c r="B270" s="60" t="s">
        <v>13</v>
      </c>
      <c r="C270" s="60" t="s">
        <v>89</v>
      </c>
      <c r="D270" s="60" t="s">
        <v>196</v>
      </c>
      <c r="E270" s="60">
        <v>3</v>
      </c>
      <c r="F270" s="60" t="s">
        <v>1</v>
      </c>
      <c r="G270" s="72" t="s">
        <v>12</v>
      </c>
      <c r="H270" s="73">
        <v>19925477.063333333</v>
      </c>
      <c r="I270" s="74">
        <v>1</v>
      </c>
      <c r="J270" s="29">
        <v>2500</v>
      </c>
      <c r="K270" s="29" t="s">
        <v>123</v>
      </c>
      <c r="L270" s="29">
        <v>25</v>
      </c>
      <c r="M270" s="29"/>
      <c r="N270" s="29"/>
      <c r="O270" s="29"/>
      <c r="P270" s="73">
        <f t="shared" si="18"/>
        <v>19925477.063333333</v>
      </c>
      <c r="Q270" s="75" t="s">
        <v>52</v>
      </c>
      <c r="R270"/>
      <c r="S270" s="52">
        <f t="shared" si="17"/>
        <v>36630997.033231996</v>
      </c>
      <c r="U270"/>
      <c r="V270"/>
    </row>
    <row r="271" spans="1:22" s="33" customFormat="1" x14ac:dyDescent="0.25">
      <c r="A271" s="26" t="s">
        <v>81</v>
      </c>
      <c r="B271" s="60" t="s">
        <v>13</v>
      </c>
      <c r="C271" s="60" t="s">
        <v>89</v>
      </c>
      <c r="D271" s="60" t="s">
        <v>197</v>
      </c>
      <c r="E271" s="60">
        <v>3</v>
      </c>
      <c r="F271" s="60" t="s">
        <v>1</v>
      </c>
      <c r="G271" s="72" t="s">
        <v>12</v>
      </c>
      <c r="H271" s="73">
        <v>6650027.7299999995</v>
      </c>
      <c r="I271" s="74">
        <v>1</v>
      </c>
      <c r="J271" s="29">
        <v>500</v>
      </c>
      <c r="K271" s="29" t="s">
        <v>123</v>
      </c>
      <c r="L271" s="29">
        <v>15</v>
      </c>
      <c r="M271" s="29"/>
      <c r="N271" s="29"/>
      <c r="O271" s="29"/>
      <c r="P271" s="73">
        <f t="shared" si="18"/>
        <v>6650027.7299999995</v>
      </c>
      <c r="Q271" s="75" t="s">
        <v>52</v>
      </c>
      <c r="R271"/>
      <c r="S271" s="52">
        <f t="shared" si="17"/>
        <v>12225410.978832001</v>
      </c>
      <c r="U271"/>
      <c r="V271"/>
    </row>
    <row r="272" spans="1:22" s="33" customFormat="1" x14ac:dyDescent="0.25">
      <c r="A272" s="26" t="s">
        <v>81</v>
      </c>
      <c r="B272" s="60" t="s">
        <v>13</v>
      </c>
      <c r="C272" s="60" t="s">
        <v>89</v>
      </c>
      <c r="D272" s="60" t="s">
        <v>198</v>
      </c>
      <c r="E272" s="60">
        <v>3</v>
      </c>
      <c r="F272" s="60" t="s">
        <v>1</v>
      </c>
      <c r="G272" s="72" t="s">
        <v>12</v>
      </c>
      <c r="H272" s="73">
        <v>11785665.063333333</v>
      </c>
      <c r="I272" s="74">
        <v>1</v>
      </c>
      <c r="J272" s="29">
        <v>1000</v>
      </c>
      <c r="K272" s="29" t="s">
        <v>123</v>
      </c>
      <c r="L272" s="29">
        <v>15</v>
      </c>
      <c r="M272" s="29"/>
      <c r="N272" s="29"/>
      <c r="O272" s="29"/>
      <c r="P272" s="73">
        <f t="shared" si="18"/>
        <v>11785665.063333333</v>
      </c>
      <c r="Q272" s="75" t="s">
        <v>52</v>
      </c>
      <c r="R272"/>
      <c r="S272" s="52">
        <f t="shared" si="17"/>
        <v>21666766.652432002</v>
      </c>
      <c r="U272"/>
      <c r="V272"/>
    </row>
    <row r="273" spans="1:22" s="33" customFormat="1" x14ac:dyDescent="0.25">
      <c r="A273" s="26" t="s">
        <v>81</v>
      </c>
      <c r="B273" s="60" t="s">
        <v>13</v>
      </c>
      <c r="C273" s="60" t="s">
        <v>89</v>
      </c>
      <c r="D273" s="60" t="s">
        <v>199</v>
      </c>
      <c r="E273" s="60">
        <v>3</v>
      </c>
      <c r="F273" s="60" t="s">
        <v>1</v>
      </c>
      <c r="G273" s="72" t="s">
        <v>12</v>
      </c>
      <c r="H273" s="73">
        <v>15852477.063333333</v>
      </c>
      <c r="I273" s="74">
        <v>1</v>
      </c>
      <c r="J273" s="29">
        <v>1500</v>
      </c>
      <c r="K273" s="29" t="s">
        <v>123</v>
      </c>
      <c r="L273" s="29">
        <v>15</v>
      </c>
      <c r="M273" s="29"/>
      <c r="N273" s="29"/>
      <c r="O273" s="29"/>
      <c r="P273" s="73">
        <f t="shared" si="18"/>
        <v>15852477.063333333</v>
      </c>
      <c r="Q273" s="75" t="s">
        <v>52</v>
      </c>
      <c r="R273"/>
      <c r="S273" s="52">
        <f t="shared" si="17"/>
        <v>29143193.833231997</v>
      </c>
      <c r="U273"/>
      <c r="V273"/>
    </row>
    <row r="274" spans="1:22" s="33" customFormat="1" x14ac:dyDescent="0.25">
      <c r="A274" s="26" t="s">
        <v>81</v>
      </c>
      <c r="B274" s="60" t="s">
        <v>13</v>
      </c>
      <c r="C274" s="60" t="s">
        <v>89</v>
      </c>
      <c r="D274" s="60" t="s">
        <v>200</v>
      </c>
      <c r="E274" s="60">
        <v>3</v>
      </c>
      <c r="F274" s="60" t="s">
        <v>1</v>
      </c>
      <c r="G274" s="72" t="s">
        <v>12</v>
      </c>
      <c r="H274" s="73">
        <v>19925477.063333333</v>
      </c>
      <c r="I274" s="74">
        <v>1</v>
      </c>
      <c r="J274" s="29">
        <v>2500</v>
      </c>
      <c r="K274" s="29" t="s">
        <v>123</v>
      </c>
      <c r="L274" s="29">
        <v>15</v>
      </c>
      <c r="M274" s="29"/>
      <c r="N274" s="29"/>
      <c r="O274" s="29"/>
      <c r="P274" s="73">
        <f t="shared" si="18"/>
        <v>19925477.063333333</v>
      </c>
      <c r="Q274" s="75" t="s">
        <v>52</v>
      </c>
      <c r="R274"/>
      <c r="S274" s="52">
        <f t="shared" si="17"/>
        <v>36630997.033231996</v>
      </c>
      <c r="U274"/>
      <c r="V274"/>
    </row>
    <row r="275" spans="1:22" s="53" customFormat="1" x14ac:dyDescent="0.25">
      <c r="A275" s="26" t="s">
        <v>81</v>
      </c>
      <c r="B275" s="60" t="s">
        <v>13</v>
      </c>
      <c r="C275" s="60" t="s">
        <v>90</v>
      </c>
      <c r="D275" s="60" t="s">
        <v>185</v>
      </c>
      <c r="E275" s="60">
        <v>1</v>
      </c>
      <c r="F275" s="60" t="s">
        <v>1</v>
      </c>
      <c r="G275" s="72" t="s">
        <v>12</v>
      </c>
      <c r="H275" s="73">
        <v>778384.16280000005</v>
      </c>
      <c r="I275" s="74">
        <v>1</v>
      </c>
      <c r="J275" s="29">
        <v>500</v>
      </c>
      <c r="K275" s="29" t="s">
        <v>123</v>
      </c>
      <c r="L275" s="29">
        <v>25</v>
      </c>
      <c r="M275" s="29"/>
      <c r="N275" s="29"/>
      <c r="O275" s="29"/>
      <c r="P275" s="73">
        <f t="shared" si="13"/>
        <v>778384.16280000005</v>
      </c>
      <c r="Q275" s="75" t="s">
        <v>52</v>
      </c>
      <c r="R275"/>
      <c r="S275" s="55">
        <f>+$T$275*H275*12/5</f>
        <v>276482.05462656001</v>
      </c>
      <c r="T275" s="54">
        <v>0.14799999999999999</v>
      </c>
      <c r="U275"/>
      <c r="V275"/>
    </row>
    <row r="276" spans="1:22" s="53" customFormat="1" x14ac:dyDescent="0.25">
      <c r="A276" s="26" t="s">
        <v>81</v>
      </c>
      <c r="B276" s="60" t="s">
        <v>13</v>
      </c>
      <c r="C276" s="60" t="s">
        <v>90</v>
      </c>
      <c r="D276" s="60" t="s">
        <v>186</v>
      </c>
      <c r="E276" s="60">
        <v>1</v>
      </c>
      <c r="F276" s="60" t="s">
        <v>1</v>
      </c>
      <c r="G276" s="72" t="s">
        <v>12</v>
      </c>
      <c r="H276" s="73">
        <v>778384.16280000005</v>
      </c>
      <c r="I276" s="74">
        <v>1</v>
      </c>
      <c r="J276" s="29">
        <v>1000</v>
      </c>
      <c r="K276" s="29" t="s">
        <v>123</v>
      </c>
      <c r="L276" s="29">
        <v>25</v>
      </c>
      <c r="M276" s="29"/>
      <c r="N276" s="29"/>
      <c r="O276" s="29"/>
      <c r="P276" s="73">
        <f t="shared" si="13"/>
        <v>778384.16280000005</v>
      </c>
      <c r="Q276" s="75" t="s">
        <v>52</v>
      </c>
      <c r="R276"/>
      <c r="S276" s="55">
        <f t="shared" ref="S276:S339" si="19">+$T$275*H276*12/5</f>
        <v>276482.05462656001</v>
      </c>
      <c r="U276"/>
      <c r="V276"/>
    </row>
    <row r="277" spans="1:22" s="53" customFormat="1" x14ac:dyDescent="0.25">
      <c r="A277" s="26" t="s">
        <v>81</v>
      </c>
      <c r="B277" s="60" t="s">
        <v>13</v>
      </c>
      <c r="C277" s="60" t="s">
        <v>90</v>
      </c>
      <c r="D277" s="60" t="s">
        <v>187</v>
      </c>
      <c r="E277" s="60">
        <v>1</v>
      </c>
      <c r="F277" s="60" t="s">
        <v>1</v>
      </c>
      <c r="G277" s="72" t="s">
        <v>12</v>
      </c>
      <c r="H277" s="73">
        <v>778384.16280000005</v>
      </c>
      <c r="I277" s="74">
        <v>1</v>
      </c>
      <c r="J277" s="29">
        <v>1500</v>
      </c>
      <c r="K277" s="29" t="s">
        <v>123</v>
      </c>
      <c r="L277" s="29">
        <v>25</v>
      </c>
      <c r="M277" s="29"/>
      <c r="N277" s="29"/>
      <c r="O277" s="29"/>
      <c r="P277" s="73">
        <f t="shared" si="13"/>
        <v>778384.16280000005</v>
      </c>
      <c r="Q277" s="75" t="s">
        <v>52</v>
      </c>
      <c r="R277"/>
      <c r="S277" s="55">
        <f t="shared" si="19"/>
        <v>276482.05462656001</v>
      </c>
      <c r="U277"/>
      <c r="V277"/>
    </row>
    <row r="278" spans="1:22" s="53" customFormat="1" x14ac:dyDescent="0.25">
      <c r="A278" s="26" t="s">
        <v>81</v>
      </c>
      <c r="B278" s="60" t="s">
        <v>13</v>
      </c>
      <c r="C278" s="60" t="s">
        <v>90</v>
      </c>
      <c r="D278" s="60" t="s">
        <v>188</v>
      </c>
      <c r="E278" s="60">
        <v>1</v>
      </c>
      <c r="F278" s="60" t="s">
        <v>1</v>
      </c>
      <c r="G278" s="72" t="s">
        <v>12</v>
      </c>
      <c r="H278" s="73">
        <v>778384.16280000005</v>
      </c>
      <c r="I278" s="74">
        <v>1</v>
      </c>
      <c r="J278" s="29">
        <v>2500</v>
      </c>
      <c r="K278" s="29" t="s">
        <v>123</v>
      </c>
      <c r="L278" s="29">
        <v>25</v>
      </c>
      <c r="M278" s="29"/>
      <c r="N278" s="29"/>
      <c r="O278" s="29"/>
      <c r="P278" s="73">
        <f t="shared" si="13"/>
        <v>778384.16280000005</v>
      </c>
      <c r="Q278" s="75" t="s">
        <v>52</v>
      </c>
      <c r="R278"/>
      <c r="S278" s="55">
        <f t="shared" si="19"/>
        <v>276482.05462656001</v>
      </c>
      <c r="U278"/>
      <c r="V278"/>
    </row>
    <row r="279" spans="1:22" s="53" customFormat="1" x14ac:dyDescent="0.25">
      <c r="A279" s="26" t="s">
        <v>81</v>
      </c>
      <c r="B279" s="60" t="s">
        <v>13</v>
      </c>
      <c r="C279" s="60" t="s">
        <v>90</v>
      </c>
      <c r="D279" s="60" t="s">
        <v>189</v>
      </c>
      <c r="E279" s="60">
        <v>1</v>
      </c>
      <c r="F279" s="60" t="s">
        <v>1</v>
      </c>
      <c r="G279" s="72" t="s">
        <v>12</v>
      </c>
      <c r="H279" s="73">
        <v>619854.30249999999</v>
      </c>
      <c r="I279" s="74">
        <v>1</v>
      </c>
      <c r="J279" s="29">
        <v>500</v>
      </c>
      <c r="K279" s="29" t="s">
        <v>123</v>
      </c>
      <c r="L279" s="29">
        <v>15</v>
      </c>
      <c r="M279" s="29"/>
      <c r="N279" s="29"/>
      <c r="O279" s="29"/>
      <c r="P279" s="73">
        <f t="shared" si="13"/>
        <v>619854.30249999999</v>
      </c>
      <c r="Q279" s="75" t="s">
        <v>52</v>
      </c>
      <c r="R279"/>
      <c r="S279" s="55">
        <f t="shared" si="19"/>
        <v>220172.24824799999</v>
      </c>
      <c r="U279"/>
      <c r="V279"/>
    </row>
    <row r="280" spans="1:22" s="53" customFormat="1" x14ac:dyDescent="0.25">
      <c r="A280" s="26" t="s">
        <v>81</v>
      </c>
      <c r="B280" s="60" t="s">
        <v>13</v>
      </c>
      <c r="C280" s="60" t="s">
        <v>90</v>
      </c>
      <c r="D280" s="60" t="s">
        <v>190</v>
      </c>
      <c r="E280" s="60">
        <v>1</v>
      </c>
      <c r="F280" s="60" t="s">
        <v>1</v>
      </c>
      <c r="G280" s="72" t="s">
        <v>12</v>
      </c>
      <c r="H280" s="73">
        <v>619854.30249999999</v>
      </c>
      <c r="I280" s="74">
        <v>1</v>
      </c>
      <c r="J280" s="29">
        <v>1000</v>
      </c>
      <c r="K280" s="29" t="s">
        <v>123</v>
      </c>
      <c r="L280" s="29">
        <v>15</v>
      </c>
      <c r="M280" s="29"/>
      <c r="N280" s="29"/>
      <c r="O280" s="29"/>
      <c r="P280" s="73">
        <f t="shared" si="13"/>
        <v>619854.30249999999</v>
      </c>
      <c r="Q280" s="75" t="s">
        <v>52</v>
      </c>
      <c r="R280"/>
      <c r="S280" s="55">
        <f t="shared" si="19"/>
        <v>220172.24824799999</v>
      </c>
      <c r="U280"/>
      <c r="V280"/>
    </row>
    <row r="281" spans="1:22" s="53" customFormat="1" x14ac:dyDescent="0.25">
      <c r="A281" s="26" t="s">
        <v>81</v>
      </c>
      <c r="B281" s="60" t="s">
        <v>13</v>
      </c>
      <c r="C281" s="60" t="s">
        <v>90</v>
      </c>
      <c r="D281" s="60" t="s">
        <v>191</v>
      </c>
      <c r="E281" s="60">
        <v>1</v>
      </c>
      <c r="F281" s="60" t="s">
        <v>1</v>
      </c>
      <c r="G281" s="72" t="s">
        <v>12</v>
      </c>
      <c r="H281" s="73">
        <v>619854.30249999999</v>
      </c>
      <c r="I281" s="74">
        <v>1</v>
      </c>
      <c r="J281" s="29">
        <v>1500</v>
      </c>
      <c r="K281" s="29" t="s">
        <v>123</v>
      </c>
      <c r="L281" s="29">
        <v>15</v>
      </c>
      <c r="M281" s="29"/>
      <c r="N281" s="29"/>
      <c r="O281" s="29"/>
      <c r="P281" s="73">
        <f t="shared" si="13"/>
        <v>619854.30249999999</v>
      </c>
      <c r="Q281" s="75" t="s">
        <v>52</v>
      </c>
      <c r="R281"/>
      <c r="S281" s="55">
        <f t="shared" si="19"/>
        <v>220172.24824799999</v>
      </c>
      <c r="U281"/>
      <c r="V281"/>
    </row>
    <row r="282" spans="1:22" s="53" customFormat="1" x14ac:dyDescent="0.25">
      <c r="A282" s="26" t="s">
        <v>81</v>
      </c>
      <c r="B282" s="60" t="s">
        <v>13</v>
      </c>
      <c r="C282" s="60" t="s">
        <v>90</v>
      </c>
      <c r="D282" s="60" t="s">
        <v>192</v>
      </c>
      <c r="E282" s="60">
        <v>1</v>
      </c>
      <c r="F282" s="60" t="s">
        <v>1</v>
      </c>
      <c r="G282" s="72" t="s">
        <v>12</v>
      </c>
      <c r="H282" s="73">
        <v>619854.30249999999</v>
      </c>
      <c r="I282" s="74">
        <v>1</v>
      </c>
      <c r="J282" s="29">
        <v>2500</v>
      </c>
      <c r="K282" s="29" t="s">
        <v>123</v>
      </c>
      <c r="L282" s="29">
        <v>15</v>
      </c>
      <c r="M282" s="29"/>
      <c r="N282" s="29"/>
      <c r="O282" s="29"/>
      <c r="P282" s="73">
        <f t="shared" si="13"/>
        <v>619854.30249999999</v>
      </c>
      <c r="Q282" s="75" t="s">
        <v>52</v>
      </c>
      <c r="R282"/>
      <c r="S282" s="55">
        <f t="shared" si="19"/>
        <v>220172.24824799999</v>
      </c>
      <c r="U282"/>
      <c r="V282"/>
    </row>
    <row r="283" spans="1:22" s="53" customFormat="1" x14ac:dyDescent="0.25">
      <c r="A283" s="26" t="s">
        <v>81</v>
      </c>
      <c r="B283" s="60" t="s">
        <v>13</v>
      </c>
      <c r="C283" s="60" t="s">
        <v>90</v>
      </c>
      <c r="D283" s="60" t="s">
        <v>193</v>
      </c>
      <c r="E283" s="60">
        <v>2</v>
      </c>
      <c r="F283" s="60" t="s">
        <v>1</v>
      </c>
      <c r="G283" s="72" t="s">
        <v>12</v>
      </c>
      <c r="H283" s="73">
        <v>778384.16280000005</v>
      </c>
      <c r="I283" s="74">
        <v>1</v>
      </c>
      <c r="J283" s="29">
        <v>500</v>
      </c>
      <c r="K283" s="29" t="s">
        <v>123</v>
      </c>
      <c r="L283" s="29">
        <v>25</v>
      </c>
      <c r="M283" s="29"/>
      <c r="N283" s="29"/>
      <c r="O283" s="29"/>
      <c r="P283" s="73">
        <f t="shared" si="13"/>
        <v>778384.16280000005</v>
      </c>
      <c r="Q283" s="75" t="s">
        <v>52</v>
      </c>
      <c r="R283"/>
      <c r="S283" s="55">
        <f t="shared" si="19"/>
        <v>276482.05462656001</v>
      </c>
      <c r="U283"/>
      <c r="V283"/>
    </row>
    <row r="284" spans="1:22" s="53" customFormat="1" x14ac:dyDescent="0.25">
      <c r="A284" s="26" t="s">
        <v>81</v>
      </c>
      <c r="B284" s="60" t="s">
        <v>13</v>
      </c>
      <c r="C284" s="60" t="s">
        <v>90</v>
      </c>
      <c r="D284" s="60" t="s">
        <v>194</v>
      </c>
      <c r="E284" s="60">
        <v>2</v>
      </c>
      <c r="F284" s="60" t="s">
        <v>1</v>
      </c>
      <c r="G284" s="72" t="s">
        <v>12</v>
      </c>
      <c r="H284" s="73">
        <v>778384.16280000005</v>
      </c>
      <c r="I284" s="74">
        <v>1</v>
      </c>
      <c r="J284" s="29">
        <v>1000</v>
      </c>
      <c r="K284" s="29" t="s">
        <v>123</v>
      </c>
      <c r="L284" s="29">
        <v>25</v>
      </c>
      <c r="M284" s="29"/>
      <c r="N284" s="29"/>
      <c r="O284" s="29"/>
      <c r="P284" s="73">
        <f t="shared" si="13"/>
        <v>778384.16280000005</v>
      </c>
      <c r="Q284" s="75" t="s">
        <v>52</v>
      </c>
      <c r="R284"/>
      <c r="S284" s="55">
        <f t="shared" si="19"/>
        <v>276482.05462656001</v>
      </c>
      <c r="U284"/>
      <c r="V284"/>
    </row>
    <row r="285" spans="1:22" s="53" customFormat="1" x14ac:dyDescent="0.25">
      <c r="A285" s="26" t="s">
        <v>81</v>
      </c>
      <c r="B285" s="60" t="s">
        <v>13</v>
      </c>
      <c r="C285" s="60" t="s">
        <v>90</v>
      </c>
      <c r="D285" s="60" t="s">
        <v>195</v>
      </c>
      <c r="E285" s="60">
        <v>2</v>
      </c>
      <c r="F285" s="60" t="s">
        <v>1</v>
      </c>
      <c r="G285" s="72" t="s">
        <v>12</v>
      </c>
      <c r="H285" s="73">
        <v>778384.16280000005</v>
      </c>
      <c r="I285" s="74">
        <v>1</v>
      </c>
      <c r="J285" s="29">
        <v>1500</v>
      </c>
      <c r="K285" s="29" t="s">
        <v>123</v>
      </c>
      <c r="L285" s="29">
        <v>25</v>
      </c>
      <c r="M285" s="29"/>
      <c r="N285" s="29"/>
      <c r="O285" s="29"/>
      <c r="P285" s="73">
        <f t="shared" si="13"/>
        <v>778384.16280000005</v>
      </c>
      <c r="Q285" s="75" t="s">
        <v>52</v>
      </c>
      <c r="R285"/>
      <c r="S285" s="55">
        <f t="shared" si="19"/>
        <v>276482.05462656001</v>
      </c>
      <c r="U285"/>
      <c r="V285"/>
    </row>
    <row r="286" spans="1:22" s="53" customFormat="1" x14ac:dyDescent="0.25">
      <c r="A286" s="26" t="s">
        <v>81</v>
      </c>
      <c r="B286" s="60" t="s">
        <v>13</v>
      </c>
      <c r="C286" s="60" t="s">
        <v>90</v>
      </c>
      <c r="D286" s="60" t="s">
        <v>196</v>
      </c>
      <c r="E286" s="60">
        <v>2</v>
      </c>
      <c r="F286" s="60" t="s">
        <v>1</v>
      </c>
      <c r="G286" s="72" t="s">
        <v>12</v>
      </c>
      <c r="H286" s="73">
        <v>778384.16280000005</v>
      </c>
      <c r="I286" s="74">
        <v>1</v>
      </c>
      <c r="J286" s="29">
        <v>2500</v>
      </c>
      <c r="K286" s="29" t="s">
        <v>123</v>
      </c>
      <c r="L286" s="29">
        <v>25</v>
      </c>
      <c r="M286" s="29"/>
      <c r="N286" s="29"/>
      <c r="O286" s="29"/>
      <c r="P286" s="73">
        <f t="shared" si="13"/>
        <v>778384.16280000005</v>
      </c>
      <c r="Q286" s="75" t="s">
        <v>52</v>
      </c>
      <c r="R286"/>
      <c r="S286" s="55">
        <f t="shared" si="19"/>
        <v>276482.05462656001</v>
      </c>
      <c r="U286"/>
      <c r="V286"/>
    </row>
    <row r="287" spans="1:22" s="53" customFormat="1" x14ac:dyDescent="0.25">
      <c r="A287" s="26" t="s">
        <v>81</v>
      </c>
      <c r="B287" s="60" t="s">
        <v>13</v>
      </c>
      <c r="C287" s="60" t="s">
        <v>90</v>
      </c>
      <c r="D287" s="60" t="s">
        <v>197</v>
      </c>
      <c r="E287" s="60">
        <v>2</v>
      </c>
      <c r="F287" s="60" t="s">
        <v>1</v>
      </c>
      <c r="G287" s="72" t="s">
        <v>12</v>
      </c>
      <c r="H287" s="73">
        <v>619854.30249999999</v>
      </c>
      <c r="I287" s="74">
        <v>1</v>
      </c>
      <c r="J287" s="29">
        <v>500</v>
      </c>
      <c r="K287" s="29" t="s">
        <v>123</v>
      </c>
      <c r="L287" s="29">
        <v>15</v>
      </c>
      <c r="M287" s="29"/>
      <c r="N287" s="29"/>
      <c r="O287" s="29"/>
      <c r="P287" s="73">
        <f t="shared" si="13"/>
        <v>619854.30249999999</v>
      </c>
      <c r="Q287" s="75" t="s">
        <v>52</v>
      </c>
      <c r="R287"/>
      <c r="S287" s="55">
        <f t="shared" si="19"/>
        <v>220172.24824799999</v>
      </c>
      <c r="U287"/>
      <c r="V287"/>
    </row>
    <row r="288" spans="1:22" s="53" customFormat="1" x14ac:dyDescent="0.25">
      <c r="A288" s="26" t="s">
        <v>81</v>
      </c>
      <c r="B288" s="60" t="s">
        <v>13</v>
      </c>
      <c r="C288" s="60" t="s">
        <v>90</v>
      </c>
      <c r="D288" s="60" t="s">
        <v>198</v>
      </c>
      <c r="E288" s="60">
        <v>2</v>
      </c>
      <c r="F288" s="60" t="s">
        <v>1</v>
      </c>
      <c r="G288" s="72" t="s">
        <v>12</v>
      </c>
      <c r="H288" s="73">
        <v>619854.30249999999</v>
      </c>
      <c r="I288" s="74">
        <v>1</v>
      </c>
      <c r="J288" s="29">
        <v>1000</v>
      </c>
      <c r="K288" s="29" t="s">
        <v>123</v>
      </c>
      <c r="L288" s="29">
        <v>15</v>
      </c>
      <c r="M288" s="29"/>
      <c r="N288" s="29"/>
      <c r="O288" s="29"/>
      <c r="P288" s="73">
        <f t="shared" si="13"/>
        <v>619854.30249999999</v>
      </c>
      <c r="Q288" s="75" t="s">
        <v>52</v>
      </c>
      <c r="R288"/>
      <c r="S288" s="55">
        <f t="shared" si="19"/>
        <v>220172.24824799999</v>
      </c>
      <c r="U288"/>
      <c r="V288"/>
    </row>
    <row r="289" spans="1:22" s="53" customFormat="1" x14ac:dyDescent="0.25">
      <c r="A289" s="26" t="s">
        <v>81</v>
      </c>
      <c r="B289" s="60" t="s">
        <v>13</v>
      </c>
      <c r="C289" s="60" t="s">
        <v>90</v>
      </c>
      <c r="D289" s="60" t="s">
        <v>199</v>
      </c>
      <c r="E289" s="60">
        <v>2</v>
      </c>
      <c r="F289" s="60" t="s">
        <v>1</v>
      </c>
      <c r="G289" s="72" t="s">
        <v>12</v>
      </c>
      <c r="H289" s="73">
        <v>619854.30249999999</v>
      </c>
      <c r="I289" s="74">
        <v>1</v>
      </c>
      <c r="J289" s="29">
        <v>1500</v>
      </c>
      <c r="K289" s="29" t="s">
        <v>123</v>
      </c>
      <c r="L289" s="29">
        <v>15</v>
      </c>
      <c r="M289" s="29"/>
      <c r="N289" s="29"/>
      <c r="O289" s="29"/>
      <c r="P289" s="73">
        <f t="shared" si="13"/>
        <v>619854.30249999999</v>
      </c>
      <c r="Q289" s="75" t="s">
        <v>52</v>
      </c>
      <c r="R289"/>
      <c r="S289" s="55">
        <f t="shared" si="19"/>
        <v>220172.24824799999</v>
      </c>
      <c r="U289"/>
      <c r="V289"/>
    </row>
    <row r="290" spans="1:22" s="53" customFormat="1" x14ac:dyDescent="0.25">
      <c r="A290" s="26" t="s">
        <v>81</v>
      </c>
      <c r="B290" s="60" t="s">
        <v>13</v>
      </c>
      <c r="C290" s="60" t="s">
        <v>90</v>
      </c>
      <c r="D290" s="60" t="s">
        <v>200</v>
      </c>
      <c r="E290" s="60">
        <v>2</v>
      </c>
      <c r="F290" s="60" t="s">
        <v>1</v>
      </c>
      <c r="G290" s="72" t="s">
        <v>12</v>
      </c>
      <c r="H290" s="73">
        <v>619854.30249999999</v>
      </c>
      <c r="I290" s="74">
        <v>1</v>
      </c>
      <c r="J290" s="29">
        <v>2500</v>
      </c>
      <c r="K290" s="29" t="s">
        <v>123</v>
      </c>
      <c r="L290" s="29">
        <v>15</v>
      </c>
      <c r="M290" s="29"/>
      <c r="N290" s="29"/>
      <c r="O290" s="29"/>
      <c r="P290" s="73">
        <f t="shared" si="13"/>
        <v>619854.30249999999</v>
      </c>
      <c r="Q290" s="75" t="s">
        <v>52</v>
      </c>
      <c r="R290"/>
      <c r="S290" s="55">
        <f t="shared" si="19"/>
        <v>220172.24824799999</v>
      </c>
      <c r="U290"/>
      <c r="V290"/>
    </row>
    <row r="291" spans="1:22" s="53" customFormat="1" x14ac:dyDescent="0.25">
      <c r="A291" s="26" t="s">
        <v>81</v>
      </c>
      <c r="B291" s="60" t="s">
        <v>13</v>
      </c>
      <c r="C291" s="60" t="s">
        <v>90</v>
      </c>
      <c r="D291" s="60" t="s">
        <v>193</v>
      </c>
      <c r="E291" s="60">
        <v>3</v>
      </c>
      <c r="F291" s="60" t="s">
        <v>1</v>
      </c>
      <c r="G291" s="72" t="s">
        <v>12</v>
      </c>
      <c r="H291" s="73">
        <v>778384.16280000005</v>
      </c>
      <c r="I291" s="74">
        <v>1</v>
      </c>
      <c r="J291" s="29">
        <v>500</v>
      </c>
      <c r="K291" s="29" t="s">
        <v>123</v>
      </c>
      <c r="L291" s="29">
        <v>25</v>
      </c>
      <c r="M291" s="29"/>
      <c r="N291" s="29"/>
      <c r="O291" s="29"/>
      <c r="P291" s="73">
        <f t="shared" ref="P291:P298" si="20">+I291*H291</f>
        <v>778384.16280000005</v>
      </c>
      <c r="Q291" s="75" t="s">
        <v>52</v>
      </c>
      <c r="R291"/>
      <c r="S291" s="55">
        <f t="shared" si="19"/>
        <v>276482.05462656001</v>
      </c>
      <c r="U291"/>
      <c r="V291"/>
    </row>
    <row r="292" spans="1:22" s="53" customFormat="1" x14ac:dyDescent="0.25">
      <c r="A292" s="26" t="s">
        <v>81</v>
      </c>
      <c r="B292" s="60" t="s">
        <v>13</v>
      </c>
      <c r="C292" s="60" t="s">
        <v>90</v>
      </c>
      <c r="D292" s="60" t="s">
        <v>194</v>
      </c>
      <c r="E292" s="60">
        <v>3</v>
      </c>
      <c r="F292" s="60" t="s">
        <v>1</v>
      </c>
      <c r="G292" s="72" t="s">
        <v>12</v>
      </c>
      <c r="H292" s="73">
        <v>778384.16280000005</v>
      </c>
      <c r="I292" s="74">
        <v>1</v>
      </c>
      <c r="J292" s="29">
        <v>1000</v>
      </c>
      <c r="K292" s="29" t="s">
        <v>123</v>
      </c>
      <c r="L292" s="29">
        <v>25</v>
      </c>
      <c r="M292" s="29"/>
      <c r="N292" s="29"/>
      <c r="O292" s="29"/>
      <c r="P292" s="73">
        <f t="shared" si="20"/>
        <v>778384.16280000005</v>
      </c>
      <c r="Q292" s="75" t="s">
        <v>52</v>
      </c>
      <c r="R292"/>
      <c r="S292" s="55">
        <f t="shared" si="19"/>
        <v>276482.05462656001</v>
      </c>
      <c r="U292"/>
      <c r="V292"/>
    </row>
    <row r="293" spans="1:22" s="53" customFormat="1" x14ac:dyDescent="0.25">
      <c r="A293" s="26" t="s">
        <v>81</v>
      </c>
      <c r="B293" s="60" t="s">
        <v>13</v>
      </c>
      <c r="C293" s="60" t="s">
        <v>90</v>
      </c>
      <c r="D293" s="60" t="s">
        <v>195</v>
      </c>
      <c r="E293" s="60">
        <v>3</v>
      </c>
      <c r="F293" s="60" t="s">
        <v>1</v>
      </c>
      <c r="G293" s="72" t="s">
        <v>12</v>
      </c>
      <c r="H293" s="73">
        <v>778384.16280000005</v>
      </c>
      <c r="I293" s="74">
        <v>1</v>
      </c>
      <c r="J293" s="29">
        <v>1500</v>
      </c>
      <c r="K293" s="29" t="s">
        <v>123</v>
      </c>
      <c r="L293" s="29">
        <v>25</v>
      </c>
      <c r="M293" s="29"/>
      <c r="N293" s="29"/>
      <c r="O293" s="29"/>
      <c r="P293" s="73">
        <f t="shared" si="20"/>
        <v>778384.16280000005</v>
      </c>
      <c r="Q293" s="75" t="s">
        <v>52</v>
      </c>
      <c r="R293"/>
      <c r="S293" s="55">
        <f t="shared" si="19"/>
        <v>276482.05462656001</v>
      </c>
      <c r="U293"/>
      <c r="V293"/>
    </row>
    <row r="294" spans="1:22" s="53" customFormat="1" x14ac:dyDescent="0.25">
      <c r="A294" s="26" t="s">
        <v>81</v>
      </c>
      <c r="B294" s="60" t="s">
        <v>13</v>
      </c>
      <c r="C294" s="60" t="s">
        <v>90</v>
      </c>
      <c r="D294" s="60" t="s">
        <v>196</v>
      </c>
      <c r="E294" s="60">
        <v>3</v>
      </c>
      <c r="F294" s="60" t="s">
        <v>1</v>
      </c>
      <c r="G294" s="72" t="s">
        <v>12</v>
      </c>
      <c r="H294" s="73">
        <v>778384.16280000005</v>
      </c>
      <c r="I294" s="74">
        <v>1</v>
      </c>
      <c r="J294" s="29">
        <v>2500</v>
      </c>
      <c r="K294" s="29" t="s">
        <v>123</v>
      </c>
      <c r="L294" s="29">
        <v>25</v>
      </c>
      <c r="M294" s="29"/>
      <c r="N294" s="29"/>
      <c r="O294" s="29"/>
      <c r="P294" s="73">
        <f t="shared" si="20"/>
        <v>778384.16280000005</v>
      </c>
      <c r="Q294" s="75" t="s">
        <v>52</v>
      </c>
      <c r="R294"/>
      <c r="S294" s="55">
        <f t="shared" si="19"/>
        <v>276482.05462656001</v>
      </c>
      <c r="U294"/>
      <c r="V294"/>
    </row>
    <row r="295" spans="1:22" s="53" customFormat="1" x14ac:dyDescent="0.25">
      <c r="A295" s="26" t="s">
        <v>81</v>
      </c>
      <c r="B295" s="60" t="s">
        <v>13</v>
      </c>
      <c r="C295" s="60" t="s">
        <v>90</v>
      </c>
      <c r="D295" s="60" t="s">
        <v>197</v>
      </c>
      <c r="E295" s="60">
        <v>3</v>
      </c>
      <c r="F295" s="60" t="s">
        <v>1</v>
      </c>
      <c r="G295" s="72" t="s">
        <v>12</v>
      </c>
      <c r="H295" s="73">
        <v>619854.30249999999</v>
      </c>
      <c r="I295" s="74">
        <v>1</v>
      </c>
      <c r="J295" s="29">
        <v>500</v>
      </c>
      <c r="K295" s="29" t="s">
        <v>123</v>
      </c>
      <c r="L295" s="29">
        <v>15</v>
      </c>
      <c r="M295" s="29"/>
      <c r="N295" s="29"/>
      <c r="O295" s="29"/>
      <c r="P295" s="73">
        <f t="shared" si="20"/>
        <v>619854.30249999999</v>
      </c>
      <c r="Q295" s="75" t="s">
        <v>52</v>
      </c>
      <c r="R295"/>
      <c r="S295" s="55">
        <f t="shared" si="19"/>
        <v>220172.24824799999</v>
      </c>
      <c r="U295"/>
      <c r="V295"/>
    </row>
    <row r="296" spans="1:22" s="53" customFormat="1" x14ac:dyDescent="0.25">
      <c r="A296" s="26" t="s">
        <v>81</v>
      </c>
      <c r="B296" s="60" t="s">
        <v>13</v>
      </c>
      <c r="C296" s="60" t="s">
        <v>90</v>
      </c>
      <c r="D296" s="60" t="s">
        <v>198</v>
      </c>
      <c r="E296" s="60">
        <v>3</v>
      </c>
      <c r="F296" s="60" t="s">
        <v>1</v>
      </c>
      <c r="G296" s="72" t="s">
        <v>12</v>
      </c>
      <c r="H296" s="73">
        <v>619854.30249999999</v>
      </c>
      <c r="I296" s="74">
        <v>1</v>
      </c>
      <c r="J296" s="29">
        <v>1000</v>
      </c>
      <c r="K296" s="29" t="s">
        <v>123</v>
      </c>
      <c r="L296" s="29">
        <v>15</v>
      </c>
      <c r="M296" s="29"/>
      <c r="N296" s="29"/>
      <c r="O296" s="29"/>
      <c r="P296" s="73">
        <f t="shared" si="20"/>
        <v>619854.30249999999</v>
      </c>
      <c r="Q296" s="75" t="s">
        <v>52</v>
      </c>
      <c r="R296"/>
      <c r="S296" s="55">
        <f t="shared" si="19"/>
        <v>220172.24824799999</v>
      </c>
      <c r="U296"/>
      <c r="V296"/>
    </row>
    <row r="297" spans="1:22" s="53" customFormat="1" x14ac:dyDescent="0.25">
      <c r="A297" s="26" t="s">
        <v>81</v>
      </c>
      <c r="B297" s="60" t="s">
        <v>13</v>
      </c>
      <c r="C297" s="60" t="s">
        <v>90</v>
      </c>
      <c r="D297" s="60" t="s">
        <v>199</v>
      </c>
      <c r="E297" s="60">
        <v>3</v>
      </c>
      <c r="F297" s="60" t="s">
        <v>1</v>
      </c>
      <c r="G297" s="72" t="s">
        <v>12</v>
      </c>
      <c r="H297" s="73">
        <v>619854.30249999999</v>
      </c>
      <c r="I297" s="74">
        <v>1</v>
      </c>
      <c r="J297" s="29">
        <v>1500</v>
      </c>
      <c r="K297" s="29" t="s">
        <v>123</v>
      </c>
      <c r="L297" s="29">
        <v>15</v>
      </c>
      <c r="M297" s="29"/>
      <c r="N297" s="29"/>
      <c r="O297" s="29"/>
      <c r="P297" s="73">
        <f t="shared" si="20"/>
        <v>619854.30249999999</v>
      </c>
      <c r="Q297" s="75" t="s">
        <v>52</v>
      </c>
      <c r="R297"/>
      <c r="S297" s="55">
        <f t="shared" si="19"/>
        <v>220172.24824799999</v>
      </c>
      <c r="U297"/>
      <c r="V297"/>
    </row>
    <row r="298" spans="1:22" s="53" customFormat="1" x14ac:dyDescent="0.25">
      <c r="A298" s="26" t="s">
        <v>81</v>
      </c>
      <c r="B298" s="60" t="s">
        <v>13</v>
      </c>
      <c r="C298" s="60" t="s">
        <v>90</v>
      </c>
      <c r="D298" s="60" t="s">
        <v>200</v>
      </c>
      <c r="E298" s="60">
        <v>3</v>
      </c>
      <c r="F298" s="60" t="s">
        <v>1</v>
      </c>
      <c r="G298" s="72" t="s">
        <v>12</v>
      </c>
      <c r="H298" s="73">
        <v>619854.30249999999</v>
      </c>
      <c r="I298" s="74">
        <v>1</v>
      </c>
      <c r="J298" s="29">
        <v>2500</v>
      </c>
      <c r="K298" s="29" t="s">
        <v>123</v>
      </c>
      <c r="L298" s="29">
        <v>15</v>
      </c>
      <c r="M298" s="29"/>
      <c r="N298" s="29"/>
      <c r="O298" s="29"/>
      <c r="P298" s="73">
        <f t="shared" si="20"/>
        <v>619854.30249999999</v>
      </c>
      <c r="Q298" s="75" t="s">
        <v>52</v>
      </c>
      <c r="R298"/>
      <c r="S298" s="55">
        <f t="shared" si="19"/>
        <v>220172.24824799999</v>
      </c>
      <c r="U298"/>
      <c r="V298"/>
    </row>
    <row r="299" spans="1:22" s="53" customFormat="1" x14ac:dyDescent="0.25">
      <c r="A299" s="26" t="s">
        <v>81</v>
      </c>
      <c r="B299" s="60" t="s">
        <v>13</v>
      </c>
      <c r="C299" s="60" t="s">
        <v>91</v>
      </c>
      <c r="D299" s="60" t="s">
        <v>185</v>
      </c>
      <c r="E299" s="60">
        <v>1</v>
      </c>
      <c r="F299" s="60" t="s">
        <v>1</v>
      </c>
      <c r="G299" s="72" t="s">
        <v>12</v>
      </c>
      <c r="H299" s="73">
        <v>3086218.5474999999</v>
      </c>
      <c r="I299" s="74">
        <v>1</v>
      </c>
      <c r="J299" s="29">
        <v>500</v>
      </c>
      <c r="K299" s="29" t="s">
        <v>123</v>
      </c>
      <c r="L299" s="29">
        <v>25</v>
      </c>
      <c r="M299" s="29"/>
      <c r="N299" s="29"/>
      <c r="O299" s="29"/>
      <c r="P299" s="73">
        <f t="shared" si="13"/>
        <v>3086218.5474999999</v>
      </c>
      <c r="Q299" s="75" t="s">
        <v>52</v>
      </c>
      <c r="R299"/>
      <c r="S299" s="55">
        <f t="shared" si="19"/>
        <v>1096224.8280719998</v>
      </c>
      <c r="U299"/>
      <c r="V299"/>
    </row>
    <row r="300" spans="1:22" s="53" customFormat="1" x14ac:dyDescent="0.25">
      <c r="A300" s="26" t="s">
        <v>81</v>
      </c>
      <c r="B300" s="60" t="s">
        <v>13</v>
      </c>
      <c r="C300" s="60" t="s">
        <v>91</v>
      </c>
      <c r="D300" s="60" t="s">
        <v>186</v>
      </c>
      <c r="E300" s="60">
        <v>1</v>
      </c>
      <c r="F300" s="60" t="s">
        <v>1</v>
      </c>
      <c r="G300" s="72" t="s">
        <v>12</v>
      </c>
      <c r="H300" s="73">
        <v>3715543.5474999999</v>
      </c>
      <c r="I300" s="74">
        <v>1</v>
      </c>
      <c r="J300" s="29">
        <v>1000</v>
      </c>
      <c r="K300" s="29" t="s">
        <v>123</v>
      </c>
      <c r="L300" s="29">
        <v>25</v>
      </c>
      <c r="M300" s="29"/>
      <c r="N300" s="29"/>
      <c r="O300" s="29"/>
      <c r="P300" s="73">
        <f t="shared" si="13"/>
        <v>3715543.5474999999</v>
      </c>
      <c r="Q300" s="75" t="s">
        <v>52</v>
      </c>
      <c r="R300"/>
      <c r="S300" s="55">
        <f t="shared" si="19"/>
        <v>1319761.0680719998</v>
      </c>
      <c r="U300"/>
      <c r="V300"/>
    </row>
    <row r="301" spans="1:22" s="53" customFormat="1" x14ac:dyDescent="0.25">
      <c r="A301" s="26" t="s">
        <v>81</v>
      </c>
      <c r="B301" s="60" t="s">
        <v>13</v>
      </c>
      <c r="C301" s="60" t="s">
        <v>91</v>
      </c>
      <c r="D301" s="60" t="s">
        <v>187</v>
      </c>
      <c r="E301" s="60">
        <v>1</v>
      </c>
      <c r="F301" s="60" t="s">
        <v>1</v>
      </c>
      <c r="G301" s="72" t="s">
        <v>12</v>
      </c>
      <c r="H301" s="73">
        <v>4715543.5475000003</v>
      </c>
      <c r="I301" s="74">
        <v>1</v>
      </c>
      <c r="J301" s="29">
        <v>1500</v>
      </c>
      <c r="K301" s="29" t="s">
        <v>123</v>
      </c>
      <c r="L301" s="29">
        <v>25</v>
      </c>
      <c r="M301" s="29"/>
      <c r="N301" s="29"/>
      <c r="O301" s="29"/>
      <c r="P301" s="73">
        <f t="shared" si="13"/>
        <v>4715543.5475000003</v>
      </c>
      <c r="Q301" s="75" t="s">
        <v>52</v>
      </c>
      <c r="R301"/>
      <c r="S301" s="55">
        <f t="shared" si="19"/>
        <v>1674961.0680720001</v>
      </c>
      <c r="U301"/>
      <c r="V301"/>
    </row>
    <row r="302" spans="1:22" s="53" customFormat="1" x14ac:dyDescent="0.25">
      <c r="A302" s="26" t="s">
        <v>81</v>
      </c>
      <c r="B302" s="60" t="s">
        <v>13</v>
      </c>
      <c r="C302" s="60" t="s">
        <v>91</v>
      </c>
      <c r="D302" s="60" t="s">
        <v>188</v>
      </c>
      <c r="E302" s="60">
        <v>1</v>
      </c>
      <c r="F302" s="60" t="s">
        <v>1</v>
      </c>
      <c r="G302" s="72" t="s">
        <v>12</v>
      </c>
      <c r="H302" s="73">
        <v>5715543.5475000003</v>
      </c>
      <c r="I302" s="74">
        <v>1</v>
      </c>
      <c r="J302" s="29">
        <v>2500</v>
      </c>
      <c r="K302" s="29" t="s">
        <v>123</v>
      </c>
      <c r="L302" s="29">
        <v>25</v>
      </c>
      <c r="M302" s="29"/>
      <c r="N302" s="29"/>
      <c r="O302" s="29"/>
      <c r="P302" s="73">
        <f t="shared" si="13"/>
        <v>5715543.5475000003</v>
      </c>
      <c r="Q302" s="75" t="s">
        <v>52</v>
      </c>
      <c r="R302"/>
      <c r="S302" s="55">
        <f t="shared" si="19"/>
        <v>2030161.0680720001</v>
      </c>
      <c r="U302"/>
      <c r="V302"/>
    </row>
    <row r="303" spans="1:22" s="53" customFormat="1" x14ac:dyDescent="0.25">
      <c r="A303" s="26" t="s">
        <v>81</v>
      </c>
      <c r="B303" s="60" t="s">
        <v>13</v>
      </c>
      <c r="C303" s="60" t="s">
        <v>91</v>
      </c>
      <c r="D303" s="60" t="s">
        <v>189</v>
      </c>
      <c r="E303" s="60">
        <v>1</v>
      </c>
      <c r="F303" s="60" t="s">
        <v>1</v>
      </c>
      <c r="G303" s="72" t="s">
        <v>12</v>
      </c>
      <c r="H303" s="73">
        <v>3086218.5474999999</v>
      </c>
      <c r="I303" s="74">
        <v>1</v>
      </c>
      <c r="J303" s="29">
        <v>500</v>
      </c>
      <c r="K303" s="29" t="s">
        <v>123</v>
      </c>
      <c r="L303" s="29">
        <v>15</v>
      </c>
      <c r="M303" s="29"/>
      <c r="N303" s="29"/>
      <c r="O303" s="29"/>
      <c r="P303" s="73">
        <f t="shared" si="13"/>
        <v>3086218.5474999999</v>
      </c>
      <c r="Q303" s="75" t="s">
        <v>52</v>
      </c>
      <c r="R303"/>
      <c r="S303" s="55">
        <f t="shared" si="19"/>
        <v>1096224.8280719998</v>
      </c>
      <c r="U303"/>
      <c r="V303"/>
    </row>
    <row r="304" spans="1:22" s="53" customFormat="1" x14ac:dyDescent="0.25">
      <c r="A304" s="26" t="s">
        <v>81</v>
      </c>
      <c r="B304" s="60" t="s">
        <v>13</v>
      </c>
      <c r="C304" s="60" t="s">
        <v>91</v>
      </c>
      <c r="D304" s="60" t="s">
        <v>190</v>
      </c>
      <c r="E304" s="60">
        <v>1</v>
      </c>
      <c r="F304" s="60" t="s">
        <v>1</v>
      </c>
      <c r="G304" s="72" t="s">
        <v>12</v>
      </c>
      <c r="H304" s="73">
        <v>3715543.5474999999</v>
      </c>
      <c r="I304" s="74">
        <v>1</v>
      </c>
      <c r="J304" s="29">
        <v>1000</v>
      </c>
      <c r="K304" s="29" t="s">
        <v>123</v>
      </c>
      <c r="L304" s="29">
        <v>15</v>
      </c>
      <c r="M304" s="29"/>
      <c r="N304" s="29"/>
      <c r="O304" s="29"/>
      <c r="P304" s="73">
        <f t="shared" si="13"/>
        <v>3715543.5474999999</v>
      </c>
      <c r="Q304" s="75" t="s">
        <v>52</v>
      </c>
      <c r="R304"/>
      <c r="S304" s="55">
        <f t="shared" si="19"/>
        <v>1319761.0680719998</v>
      </c>
      <c r="U304"/>
      <c r="V304"/>
    </row>
    <row r="305" spans="1:22" s="53" customFormat="1" x14ac:dyDescent="0.25">
      <c r="A305" s="26" t="s">
        <v>81</v>
      </c>
      <c r="B305" s="60" t="s">
        <v>13</v>
      </c>
      <c r="C305" s="60" t="s">
        <v>91</v>
      </c>
      <c r="D305" s="60" t="s">
        <v>191</v>
      </c>
      <c r="E305" s="60">
        <v>1</v>
      </c>
      <c r="F305" s="60" t="s">
        <v>1</v>
      </c>
      <c r="G305" s="72" t="s">
        <v>12</v>
      </c>
      <c r="H305" s="73">
        <v>4715543.5475000003</v>
      </c>
      <c r="I305" s="74">
        <v>1</v>
      </c>
      <c r="J305" s="29">
        <v>1500</v>
      </c>
      <c r="K305" s="29" t="s">
        <v>123</v>
      </c>
      <c r="L305" s="29">
        <v>15</v>
      </c>
      <c r="M305" s="29"/>
      <c r="N305" s="29"/>
      <c r="O305" s="29"/>
      <c r="P305" s="73">
        <f t="shared" si="13"/>
        <v>4715543.5475000003</v>
      </c>
      <c r="Q305" s="75" t="s">
        <v>52</v>
      </c>
      <c r="R305"/>
      <c r="S305" s="55">
        <f t="shared" si="19"/>
        <v>1674961.0680720001</v>
      </c>
      <c r="U305"/>
      <c r="V305"/>
    </row>
    <row r="306" spans="1:22" s="53" customFormat="1" x14ac:dyDescent="0.25">
      <c r="A306" s="26" t="s">
        <v>81</v>
      </c>
      <c r="B306" s="60" t="s">
        <v>13</v>
      </c>
      <c r="C306" s="60" t="s">
        <v>91</v>
      </c>
      <c r="D306" s="60" t="s">
        <v>192</v>
      </c>
      <c r="E306" s="60">
        <v>1</v>
      </c>
      <c r="F306" s="60" t="s">
        <v>1</v>
      </c>
      <c r="G306" s="72" t="s">
        <v>12</v>
      </c>
      <c r="H306" s="73">
        <v>5715543.5475000003</v>
      </c>
      <c r="I306" s="74">
        <v>1</v>
      </c>
      <c r="J306" s="29">
        <v>2500</v>
      </c>
      <c r="K306" s="29" t="s">
        <v>123</v>
      </c>
      <c r="L306" s="29">
        <v>15</v>
      </c>
      <c r="M306" s="29"/>
      <c r="N306" s="29"/>
      <c r="O306" s="29"/>
      <c r="P306" s="73">
        <f t="shared" si="13"/>
        <v>5715543.5475000003</v>
      </c>
      <c r="Q306" s="75" t="s">
        <v>52</v>
      </c>
      <c r="R306"/>
      <c r="S306" s="55">
        <f t="shared" si="19"/>
        <v>2030161.0680720001</v>
      </c>
      <c r="U306"/>
      <c r="V306"/>
    </row>
    <row r="307" spans="1:22" s="53" customFormat="1" x14ac:dyDescent="0.25">
      <c r="A307" s="26" t="s">
        <v>81</v>
      </c>
      <c r="B307" s="60" t="s">
        <v>13</v>
      </c>
      <c r="C307" s="60" t="s">
        <v>91</v>
      </c>
      <c r="D307" s="60" t="s">
        <v>193</v>
      </c>
      <c r="E307" s="60">
        <v>2</v>
      </c>
      <c r="F307" s="60" t="s">
        <v>1</v>
      </c>
      <c r="G307" s="72" t="s">
        <v>12</v>
      </c>
      <c r="H307" s="73">
        <v>3086218.5474999999</v>
      </c>
      <c r="I307" s="74">
        <v>1</v>
      </c>
      <c r="J307" s="29">
        <v>500</v>
      </c>
      <c r="K307" s="29" t="s">
        <v>123</v>
      </c>
      <c r="L307" s="29">
        <v>25</v>
      </c>
      <c r="M307" s="29"/>
      <c r="N307" s="29"/>
      <c r="O307" s="29"/>
      <c r="P307" s="73">
        <f t="shared" si="13"/>
        <v>3086218.5474999999</v>
      </c>
      <c r="Q307" s="75" t="s">
        <v>52</v>
      </c>
      <c r="R307"/>
      <c r="S307" s="55">
        <f t="shared" si="19"/>
        <v>1096224.8280719998</v>
      </c>
      <c r="U307"/>
      <c r="V307"/>
    </row>
    <row r="308" spans="1:22" s="53" customFormat="1" x14ac:dyDescent="0.25">
      <c r="A308" s="26" t="s">
        <v>81</v>
      </c>
      <c r="B308" s="60" t="s">
        <v>13</v>
      </c>
      <c r="C308" s="60" t="s">
        <v>91</v>
      </c>
      <c r="D308" s="60" t="s">
        <v>194</v>
      </c>
      <c r="E308" s="60">
        <v>2</v>
      </c>
      <c r="F308" s="60" t="s">
        <v>1</v>
      </c>
      <c r="G308" s="72" t="s">
        <v>12</v>
      </c>
      <c r="H308" s="73">
        <v>3715543.5474999999</v>
      </c>
      <c r="I308" s="74">
        <v>1</v>
      </c>
      <c r="J308" s="29">
        <v>1000</v>
      </c>
      <c r="K308" s="29" t="s">
        <v>123</v>
      </c>
      <c r="L308" s="29">
        <v>25</v>
      </c>
      <c r="M308" s="29"/>
      <c r="N308" s="29"/>
      <c r="O308" s="29"/>
      <c r="P308" s="73">
        <f t="shared" si="13"/>
        <v>3715543.5474999999</v>
      </c>
      <c r="Q308" s="75" t="s">
        <v>52</v>
      </c>
      <c r="R308"/>
      <c r="S308" s="55">
        <f t="shared" si="19"/>
        <v>1319761.0680719998</v>
      </c>
      <c r="U308"/>
      <c r="V308"/>
    </row>
    <row r="309" spans="1:22" s="53" customFormat="1" x14ac:dyDescent="0.25">
      <c r="A309" s="26" t="s">
        <v>81</v>
      </c>
      <c r="B309" s="60" t="s">
        <v>13</v>
      </c>
      <c r="C309" s="60" t="s">
        <v>91</v>
      </c>
      <c r="D309" s="60" t="s">
        <v>195</v>
      </c>
      <c r="E309" s="60">
        <v>2</v>
      </c>
      <c r="F309" s="60" t="s">
        <v>1</v>
      </c>
      <c r="G309" s="72" t="s">
        <v>12</v>
      </c>
      <c r="H309" s="73">
        <v>4715543.5475000003</v>
      </c>
      <c r="I309" s="74">
        <v>1</v>
      </c>
      <c r="J309" s="29">
        <v>1500</v>
      </c>
      <c r="K309" s="29" t="s">
        <v>123</v>
      </c>
      <c r="L309" s="29">
        <v>25</v>
      </c>
      <c r="M309" s="29"/>
      <c r="N309" s="29"/>
      <c r="O309" s="29"/>
      <c r="P309" s="73">
        <f t="shared" si="13"/>
        <v>4715543.5475000003</v>
      </c>
      <c r="Q309" s="75" t="s">
        <v>52</v>
      </c>
      <c r="R309"/>
      <c r="S309" s="55">
        <f t="shared" si="19"/>
        <v>1674961.0680720001</v>
      </c>
      <c r="U309"/>
      <c r="V309"/>
    </row>
    <row r="310" spans="1:22" s="53" customFormat="1" x14ac:dyDescent="0.25">
      <c r="A310" s="26" t="s">
        <v>81</v>
      </c>
      <c r="B310" s="60" t="s">
        <v>13</v>
      </c>
      <c r="C310" s="60" t="s">
        <v>91</v>
      </c>
      <c r="D310" s="60" t="s">
        <v>196</v>
      </c>
      <c r="E310" s="60">
        <v>2</v>
      </c>
      <c r="F310" s="60" t="s">
        <v>1</v>
      </c>
      <c r="G310" s="72" t="s">
        <v>12</v>
      </c>
      <c r="H310" s="73">
        <v>5715543.5475000003</v>
      </c>
      <c r="I310" s="74">
        <v>1</v>
      </c>
      <c r="J310" s="29">
        <v>2500</v>
      </c>
      <c r="K310" s="29" t="s">
        <v>123</v>
      </c>
      <c r="L310" s="29">
        <v>25</v>
      </c>
      <c r="M310" s="29"/>
      <c r="N310" s="29"/>
      <c r="O310" s="29"/>
      <c r="P310" s="73">
        <f t="shared" si="13"/>
        <v>5715543.5475000003</v>
      </c>
      <c r="Q310" s="75" t="s">
        <v>52</v>
      </c>
      <c r="R310"/>
      <c r="S310" s="55">
        <f t="shared" si="19"/>
        <v>2030161.0680720001</v>
      </c>
      <c r="U310"/>
      <c r="V310"/>
    </row>
    <row r="311" spans="1:22" s="53" customFormat="1" x14ac:dyDescent="0.25">
      <c r="A311" s="26" t="s">
        <v>81</v>
      </c>
      <c r="B311" s="60" t="s">
        <v>13</v>
      </c>
      <c r="C311" s="60" t="s">
        <v>91</v>
      </c>
      <c r="D311" s="60" t="s">
        <v>197</v>
      </c>
      <c r="E311" s="60">
        <v>2</v>
      </c>
      <c r="F311" s="60" t="s">
        <v>1</v>
      </c>
      <c r="G311" s="72" t="s">
        <v>12</v>
      </c>
      <c r="H311" s="73">
        <v>3086218.5474999999</v>
      </c>
      <c r="I311" s="74">
        <v>1</v>
      </c>
      <c r="J311" s="29">
        <v>500</v>
      </c>
      <c r="K311" s="29" t="s">
        <v>123</v>
      </c>
      <c r="L311" s="29">
        <v>15</v>
      </c>
      <c r="M311" s="29"/>
      <c r="N311" s="29"/>
      <c r="O311" s="29"/>
      <c r="P311" s="73">
        <f t="shared" ref="P311:P406" si="21">+I311*H311</f>
        <v>3086218.5474999999</v>
      </c>
      <c r="Q311" s="75" t="s">
        <v>52</v>
      </c>
      <c r="R311"/>
      <c r="S311" s="55">
        <f t="shared" si="19"/>
        <v>1096224.8280719998</v>
      </c>
      <c r="U311"/>
      <c r="V311"/>
    </row>
    <row r="312" spans="1:22" s="53" customFormat="1" x14ac:dyDescent="0.25">
      <c r="A312" s="26" t="s">
        <v>81</v>
      </c>
      <c r="B312" s="60" t="s">
        <v>13</v>
      </c>
      <c r="C312" s="60" t="s">
        <v>91</v>
      </c>
      <c r="D312" s="60" t="s">
        <v>198</v>
      </c>
      <c r="E312" s="60">
        <v>2</v>
      </c>
      <c r="F312" s="60" t="s">
        <v>1</v>
      </c>
      <c r="G312" s="72" t="s">
        <v>12</v>
      </c>
      <c r="H312" s="73">
        <v>3715543.5474999999</v>
      </c>
      <c r="I312" s="74">
        <v>1</v>
      </c>
      <c r="J312" s="29">
        <v>1000</v>
      </c>
      <c r="K312" s="29" t="s">
        <v>123</v>
      </c>
      <c r="L312" s="29">
        <v>15</v>
      </c>
      <c r="M312" s="29"/>
      <c r="N312" s="29"/>
      <c r="O312" s="29"/>
      <c r="P312" s="73">
        <f t="shared" si="21"/>
        <v>3715543.5474999999</v>
      </c>
      <c r="Q312" s="75" t="s">
        <v>52</v>
      </c>
      <c r="R312"/>
      <c r="S312" s="55">
        <f t="shared" si="19"/>
        <v>1319761.0680719998</v>
      </c>
      <c r="U312"/>
      <c r="V312"/>
    </row>
    <row r="313" spans="1:22" s="53" customFormat="1" x14ac:dyDescent="0.25">
      <c r="A313" s="26" t="s">
        <v>81</v>
      </c>
      <c r="B313" s="60" t="s">
        <v>13</v>
      </c>
      <c r="C313" s="60" t="s">
        <v>91</v>
      </c>
      <c r="D313" s="60" t="s">
        <v>199</v>
      </c>
      <c r="E313" s="60">
        <v>2</v>
      </c>
      <c r="F313" s="60" t="s">
        <v>1</v>
      </c>
      <c r="G313" s="72" t="s">
        <v>12</v>
      </c>
      <c r="H313" s="73">
        <v>4715543.5475000003</v>
      </c>
      <c r="I313" s="74">
        <v>1</v>
      </c>
      <c r="J313" s="29">
        <v>1500</v>
      </c>
      <c r="K313" s="29" t="s">
        <v>123</v>
      </c>
      <c r="L313" s="29">
        <v>15</v>
      </c>
      <c r="M313" s="29"/>
      <c r="N313" s="29"/>
      <c r="O313" s="29"/>
      <c r="P313" s="73">
        <f t="shared" si="21"/>
        <v>4715543.5475000003</v>
      </c>
      <c r="Q313" s="75" t="s">
        <v>52</v>
      </c>
      <c r="R313"/>
      <c r="S313" s="55">
        <f t="shared" si="19"/>
        <v>1674961.0680720001</v>
      </c>
      <c r="U313"/>
      <c r="V313"/>
    </row>
    <row r="314" spans="1:22" s="53" customFormat="1" x14ac:dyDescent="0.25">
      <c r="A314" s="26" t="s">
        <v>81</v>
      </c>
      <c r="B314" s="60" t="s">
        <v>13</v>
      </c>
      <c r="C314" s="60" t="s">
        <v>91</v>
      </c>
      <c r="D314" s="60" t="s">
        <v>200</v>
      </c>
      <c r="E314" s="60">
        <v>2</v>
      </c>
      <c r="F314" s="60" t="s">
        <v>1</v>
      </c>
      <c r="G314" s="72" t="s">
        <v>12</v>
      </c>
      <c r="H314" s="73">
        <v>5715543.5475000003</v>
      </c>
      <c r="I314" s="74">
        <v>1</v>
      </c>
      <c r="J314" s="29">
        <v>2500</v>
      </c>
      <c r="K314" s="29" t="s">
        <v>123</v>
      </c>
      <c r="L314" s="29">
        <v>15</v>
      </c>
      <c r="M314" s="29"/>
      <c r="N314" s="29"/>
      <c r="O314" s="29"/>
      <c r="P314" s="73">
        <f t="shared" si="21"/>
        <v>5715543.5475000003</v>
      </c>
      <c r="Q314" s="75" t="s">
        <v>52</v>
      </c>
      <c r="R314"/>
      <c r="S314" s="55">
        <f t="shared" si="19"/>
        <v>2030161.0680720001</v>
      </c>
      <c r="U314"/>
      <c r="V314"/>
    </row>
    <row r="315" spans="1:22" s="53" customFormat="1" x14ac:dyDescent="0.25">
      <c r="A315" s="26" t="s">
        <v>81</v>
      </c>
      <c r="B315" s="60" t="s">
        <v>13</v>
      </c>
      <c r="C315" s="60" t="s">
        <v>91</v>
      </c>
      <c r="D315" s="60" t="s">
        <v>193</v>
      </c>
      <c r="E315" s="60">
        <v>3</v>
      </c>
      <c r="F315" s="60" t="s">
        <v>1</v>
      </c>
      <c r="G315" s="72" t="s">
        <v>12</v>
      </c>
      <c r="H315" s="73">
        <v>3086218.5474999999</v>
      </c>
      <c r="I315" s="74">
        <v>1</v>
      </c>
      <c r="J315" s="29">
        <v>500</v>
      </c>
      <c r="K315" s="29" t="s">
        <v>123</v>
      </c>
      <c r="L315" s="29">
        <v>25</v>
      </c>
      <c r="M315" s="29"/>
      <c r="N315" s="29"/>
      <c r="O315" s="29"/>
      <c r="P315" s="73">
        <f t="shared" si="21"/>
        <v>3086218.5474999999</v>
      </c>
      <c r="Q315" s="75" t="s">
        <v>52</v>
      </c>
      <c r="R315"/>
      <c r="S315" s="55">
        <f t="shared" si="19"/>
        <v>1096224.8280719998</v>
      </c>
      <c r="U315"/>
      <c r="V315"/>
    </row>
    <row r="316" spans="1:22" s="53" customFormat="1" x14ac:dyDescent="0.25">
      <c r="A316" s="26" t="s">
        <v>81</v>
      </c>
      <c r="B316" s="60" t="s">
        <v>13</v>
      </c>
      <c r="C316" s="60" t="s">
        <v>91</v>
      </c>
      <c r="D316" s="60" t="s">
        <v>194</v>
      </c>
      <c r="E316" s="60">
        <v>3</v>
      </c>
      <c r="F316" s="60" t="s">
        <v>1</v>
      </c>
      <c r="G316" s="72" t="s">
        <v>12</v>
      </c>
      <c r="H316" s="73">
        <v>3715543.5474999999</v>
      </c>
      <c r="I316" s="74">
        <v>1</v>
      </c>
      <c r="J316" s="29">
        <v>1000</v>
      </c>
      <c r="K316" s="29" t="s">
        <v>123</v>
      </c>
      <c r="L316" s="29">
        <v>25</v>
      </c>
      <c r="M316" s="29"/>
      <c r="N316" s="29"/>
      <c r="O316" s="29"/>
      <c r="P316" s="73">
        <f t="shared" si="21"/>
        <v>3715543.5474999999</v>
      </c>
      <c r="Q316" s="75" t="s">
        <v>52</v>
      </c>
      <c r="R316"/>
      <c r="S316" s="55">
        <f t="shared" si="19"/>
        <v>1319761.0680719998</v>
      </c>
      <c r="U316"/>
      <c r="V316"/>
    </row>
    <row r="317" spans="1:22" s="53" customFormat="1" x14ac:dyDescent="0.25">
      <c r="A317" s="26" t="s">
        <v>81</v>
      </c>
      <c r="B317" s="60" t="s">
        <v>13</v>
      </c>
      <c r="C317" s="60" t="s">
        <v>91</v>
      </c>
      <c r="D317" s="60" t="s">
        <v>195</v>
      </c>
      <c r="E317" s="60">
        <v>3</v>
      </c>
      <c r="F317" s="60" t="s">
        <v>1</v>
      </c>
      <c r="G317" s="72" t="s">
        <v>12</v>
      </c>
      <c r="H317" s="73">
        <v>4715543.5475000003</v>
      </c>
      <c r="I317" s="74">
        <v>1</v>
      </c>
      <c r="J317" s="29">
        <v>1500</v>
      </c>
      <c r="K317" s="29" t="s">
        <v>123</v>
      </c>
      <c r="L317" s="29">
        <v>25</v>
      </c>
      <c r="M317" s="29"/>
      <c r="N317" s="29"/>
      <c r="O317" s="29"/>
      <c r="P317" s="73">
        <f t="shared" si="21"/>
        <v>4715543.5475000003</v>
      </c>
      <c r="Q317" s="75" t="s">
        <v>52</v>
      </c>
      <c r="R317"/>
      <c r="S317" s="55">
        <f t="shared" si="19"/>
        <v>1674961.0680720001</v>
      </c>
      <c r="U317"/>
      <c r="V317"/>
    </row>
    <row r="318" spans="1:22" s="53" customFormat="1" x14ac:dyDescent="0.25">
      <c r="A318" s="26" t="s">
        <v>81</v>
      </c>
      <c r="B318" s="60" t="s">
        <v>13</v>
      </c>
      <c r="C318" s="60" t="s">
        <v>91</v>
      </c>
      <c r="D318" s="60" t="s">
        <v>196</v>
      </c>
      <c r="E318" s="60">
        <v>3</v>
      </c>
      <c r="F318" s="60" t="s">
        <v>1</v>
      </c>
      <c r="G318" s="72" t="s">
        <v>12</v>
      </c>
      <c r="H318" s="73">
        <v>5715543.5475000003</v>
      </c>
      <c r="I318" s="74">
        <v>1</v>
      </c>
      <c r="J318" s="29">
        <v>2500</v>
      </c>
      <c r="K318" s="29" t="s">
        <v>123</v>
      </c>
      <c r="L318" s="29">
        <v>25</v>
      </c>
      <c r="M318" s="29"/>
      <c r="N318" s="29"/>
      <c r="O318" s="29"/>
      <c r="P318" s="73">
        <f t="shared" si="21"/>
        <v>5715543.5475000003</v>
      </c>
      <c r="Q318" s="75" t="s">
        <v>52</v>
      </c>
      <c r="R318"/>
      <c r="S318" s="55">
        <f t="shared" si="19"/>
        <v>2030161.0680720001</v>
      </c>
      <c r="U318"/>
      <c r="V318"/>
    </row>
    <row r="319" spans="1:22" s="53" customFormat="1" x14ac:dyDescent="0.25">
      <c r="A319" s="26" t="s">
        <v>81</v>
      </c>
      <c r="B319" s="60" t="s">
        <v>13</v>
      </c>
      <c r="C319" s="60" t="s">
        <v>91</v>
      </c>
      <c r="D319" s="60" t="s">
        <v>197</v>
      </c>
      <c r="E319" s="60">
        <v>3</v>
      </c>
      <c r="F319" s="60" t="s">
        <v>1</v>
      </c>
      <c r="G319" s="72" t="s">
        <v>12</v>
      </c>
      <c r="H319" s="73">
        <v>3086218.5474999999</v>
      </c>
      <c r="I319" s="74">
        <v>1</v>
      </c>
      <c r="J319" s="29">
        <v>500</v>
      </c>
      <c r="K319" s="29" t="s">
        <v>123</v>
      </c>
      <c r="L319" s="29">
        <v>15</v>
      </c>
      <c r="M319" s="29"/>
      <c r="N319" s="29"/>
      <c r="O319" s="29"/>
      <c r="P319" s="73">
        <f t="shared" ref="P319:P322" si="22">+I319*H319</f>
        <v>3086218.5474999999</v>
      </c>
      <c r="Q319" s="75" t="s">
        <v>52</v>
      </c>
      <c r="R319"/>
      <c r="S319" s="55">
        <f t="shared" si="19"/>
        <v>1096224.8280719998</v>
      </c>
      <c r="U319"/>
      <c r="V319"/>
    </row>
    <row r="320" spans="1:22" s="53" customFormat="1" x14ac:dyDescent="0.25">
      <c r="A320" s="26" t="s">
        <v>81</v>
      </c>
      <c r="B320" s="60" t="s">
        <v>13</v>
      </c>
      <c r="C320" s="60" t="s">
        <v>91</v>
      </c>
      <c r="D320" s="60" t="s">
        <v>198</v>
      </c>
      <c r="E320" s="60">
        <v>3</v>
      </c>
      <c r="F320" s="60" t="s">
        <v>1</v>
      </c>
      <c r="G320" s="72" t="s">
        <v>12</v>
      </c>
      <c r="H320" s="73">
        <v>3715543.5474999999</v>
      </c>
      <c r="I320" s="74">
        <v>1</v>
      </c>
      <c r="J320" s="29">
        <v>1000</v>
      </c>
      <c r="K320" s="29" t="s">
        <v>123</v>
      </c>
      <c r="L320" s="29">
        <v>15</v>
      </c>
      <c r="M320" s="29"/>
      <c r="N320" s="29"/>
      <c r="O320" s="29"/>
      <c r="P320" s="73">
        <f t="shared" si="22"/>
        <v>3715543.5474999999</v>
      </c>
      <c r="Q320" s="75" t="s">
        <v>52</v>
      </c>
      <c r="R320"/>
      <c r="S320" s="55">
        <f t="shared" si="19"/>
        <v>1319761.0680719998</v>
      </c>
      <c r="U320"/>
      <c r="V320"/>
    </row>
    <row r="321" spans="1:22" s="53" customFormat="1" x14ac:dyDescent="0.25">
      <c r="A321" s="26" t="s">
        <v>81</v>
      </c>
      <c r="B321" s="60" t="s">
        <v>13</v>
      </c>
      <c r="C321" s="60" t="s">
        <v>91</v>
      </c>
      <c r="D321" s="60" t="s">
        <v>199</v>
      </c>
      <c r="E321" s="60">
        <v>3</v>
      </c>
      <c r="F321" s="60" t="s">
        <v>1</v>
      </c>
      <c r="G321" s="72" t="s">
        <v>12</v>
      </c>
      <c r="H321" s="73">
        <v>4715543.5475000003</v>
      </c>
      <c r="I321" s="74">
        <v>1</v>
      </c>
      <c r="J321" s="29">
        <v>1500</v>
      </c>
      <c r="K321" s="29" t="s">
        <v>123</v>
      </c>
      <c r="L321" s="29">
        <v>15</v>
      </c>
      <c r="M321" s="29"/>
      <c r="N321" s="29"/>
      <c r="O321" s="29"/>
      <c r="P321" s="73">
        <f t="shared" si="22"/>
        <v>4715543.5475000003</v>
      </c>
      <c r="Q321" s="75" t="s">
        <v>52</v>
      </c>
      <c r="R321"/>
      <c r="S321" s="55">
        <f t="shared" si="19"/>
        <v>1674961.0680720001</v>
      </c>
      <c r="U321"/>
      <c r="V321"/>
    </row>
    <row r="322" spans="1:22" s="53" customFormat="1" x14ac:dyDescent="0.25">
      <c r="A322" s="26" t="s">
        <v>81</v>
      </c>
      <c r="B322" s="60" t="s">
        <v>13</v>
      </c>
      <c r="C322" s="60" t="s">
        <v>91</v>
      </c>
      <c r="D322" s="60" t="s">
        <v>200</v>
      </c>
      <c r="E322" s="60">
        <v>3</v>
      </c>
      <c r="F322" s="60" t="s">
        <v>1</v>
      </c>
      <c r="G322" s="72" t="s">
        <v>12</v>
      </c>
      <c r="H322" s="73">
        <v>5715543.5475000003</v>
      </c>
      <c r="I322" s="74">
        <v>1</v>
      </c>
      <c r="J322" s="29">
        <v>2500</v>
      </c>
      <c r="K322" s="29" t="s">
        <v>123</v>
      </c>
      <c r="L322" s="29">
        <v>15</v>
      </c>
      <c r="M322" s="29"/>
      <c r="N322" s="29"/>
      <c r="O322" s="29"/>
      <c r="P322" s="73">
        <f t="shared" si="22"/>
        <v>5715543.5475000003</v>
      </c>
      <c r="Q322" s="75" t="s">
        <v>52</v>
      </c>
      <c r="R322"/>
      <c r="S322" s="55">
        <f t="shared" si="19"/>
        <v>2030161.0680720001</v>
      </c>
      <c r="U322"/>
      <c r="V322"/>
    </row>
    <row r="323" spans="1:22" s="53" customFormat="1" x14ac:dyDescent="0.25">
      <c r="A323" s="26" t="s">
        <v>81</v>
      </c>
      <c r="B323" s="60" t="s">
        <v>13</v>
      </c>
      <c r="C323" s="60" t="s">
        <v>92</v>
      </c>
      <c r="D323" s="60" t="s">
        <v>185</v>
      </c>
      <c r="E323" s="60">
        <v>1</v>
      </c>
      <c r="F323" s="60" t="s">
        <v>1</v>
      </c>
      <c r="G323" s="72" t="s">
        <v>12</v>
      </c>
      <c r="H323" s="73">
        <v>460286.44419999997</v>
      </c>
      <c r="I323" s="74">
        <v>1</v>
      </c>
      <c r="J323" s="29">
        <v>500</v>
      </c>
      <c r="K323" s="29" t="s">
        <v>123</v>
      </c>
      <c r="L323" s="29">
        <v>25</v>
      </c>
      <c r="M323" s="29"/>
      <c r="N323" s="29"/>
      <c r="O323" s="29"/>
      <c r="P323" s="73">
        <f t="shared" si="21"/>
        <v>460286.44419999997</v>
      </c>
      <c r="Q323" s="75" t="s">
        <v>52</v>
      </c>
      <c r="R323"/>
      <c r="S323" s="55">
        <f t="shared" si="19"/>
        <v>163493.74497984</v>
      </c>
      <c r="U323"/>
      <c r="V323"/>
    </row>
    <row r="324" spans="1:22" s="53" customFormat="1" x14ac:dyDescent="0.25">
      <c r="A324" s="26" t="s">
        <v>81</v>
      </c>
      <c r="B324" s="60" t="s">
        <v>13</v>
      </c>
      <c r="C324" s="60" t="s">
        <v>92</v>
      </c>
      <c r="D324" s="60" t="s">
        <v>186</v>
      </c>
      <c r="E324" s="60">
        <v>1</v>
      </c>
      <c r="F324" s="60" t="s">
        <v>1</v>
      </c>
      <c r="G324" s="72" t="s">
        <v>12</v>
      </c>
      <c r="H324" s="73">
        <v>460286.44419999997</v>
      </c>
      <c r="I324" s="74">
        <v>1</v>
      </c>
      <c r="J324" s="29">
        <v>1000</v>
      </c>
      <c r="K324" s="29" t="s">
        <v>123</v>
      </c>
      <c r="L324" s="29">
        <v>25</v>
      </c>
      <c r="M324" s="29"/>
      <c r="N324" s="29"/>
      <c r="O324" s="29"/>
      <c r="P324" s="73">
        <f t="shared" si="21"/>
        <v>460286.44419999997</v>
      </c>
      <c r="Q324" s="75" t="s">
        <v>52</v>
      </c>
      <c r="R324"/>
      <c r="S324" s="55">
        <f t="shared" si="19"/>
        <v>163493.74497984</v>
      </c>
      <c r="U324"/>
      <c r="V324"/>
    </row>
    <row r="325" spans="1:22" s="53" customFormat="1" x14ac:dyDescent="0.25">
      <c r="A325" s="26" t="s">
        <v>81</v>
      </c>
      <c r="B325" s="60" t="s">
        <v>13</v>
      </c>
      <c r="C325" s="60" t="s">
        <v>92</v>
      </c>
      <c r="D325" s="60" t="s">
        <v>187</v>
      </c>
      <c r="E325" s="60">
        <v>1</v>
      </c>
      <c r="F325" s="60" t="s">
        <v>1</v>
      </c>
      <c r="G325" s="72" t="s">
        <v>12</v>
      </c>
      <c r="H325" s="73">
        <v>460286.44419999997</v>
      </c>
      <c r="I325" s="74">
        <v>1</v>
      </c>
      <c r="J325" s="29">
        <v>1500</v>
      </c>
      <c r="K325" s="29" t="s">
        <v>123</v>
      </c>
      <c r="L325" s="29">
        <v>25</v>
      </c>
      <c r="M325" s="29"/>
      <c r="N325" s="29"/>
      <c r="O325" s="29"/>
      <c r="P325" s="73">
        <f t="shared" si="21"/>
        <v>460286.44419999997</v>
      </c>
      <c r="Q325" s="75" t="s">
        <v>52</v>
      </c>
      <c r="R325"/>
      <c r="S325" s="55">
        <f t="shared" si="19"/>
        <v>163493.74497984</v>
      </c>
      <c r="U325"/>
      <c r="V325"/>
    </row>
    <row r="326" spans="1:22" s="53" customFormat="1" x14ac:dyDescent="0.25">
      <c r="A326" s="26" t="s">
        <v>81</v>
      </c>
      <c r="B326" s="60" t="s">
        <v>13</v>
      </c>
      <c r="C326" s="60" t="s">
        <v>92</v>
      </c>
      <c r="D326" s="60" t="s">
        <v>188</v>
      </c>
      <c r="E326" s="60">
        <v>1</v>
      </c>
      <c r="F326" s="60" t="s">
        <v>1</v>
      </c>
      <c r="G326" s="72" t="s">
        <v>12</v>
      </c>
      <c r="H326" s="73">
        <v>460286.44419999997</v>
      </c>
      <c r="I326" s="74">
        <v>1</v>
      </c>
      <c r="J326" s="29">
        <v>2500</v>
      </c>
      <c r="K326" s="29" t="s">
        <v>123</v>
      </c>
      <c r="L326" s="29">
        <v>25</v>
      </c>
      <c r="M326" s="29"/>
      <c r="N326" s="29"/>
      <c r="O326" s="29"/>
      <c r="P326" s="73">
        <f t="shared" si="21"/>
        <v>460286.44419999997</v>
      </c>
      <c r="Q326" s="75" t="s">
        <v>52</v>
      </c>
      <c r="R326"/>
      <c r="S326" s="55">
        <f t="shared" si="19"/>
        <v>163493.74497984</v>
      </c>
      <c r="U326"/>
      <c r="V326"/>
    </row>
    <row r="327" spans="1:22" s="53" customFormat="1" x14ac:dyDescent="0.25">
      <c r="A327" s="26" t="s">
        <v>81</v>
      </c>
      <c r="B327" s="60" t="s">
        <v>13</v>
      </c>
      <c r="C327" s="60" t="s">
        <v>92</v>
      </c>
      <c r="D327" s="60" t="s">
        <v>189</v>
      </c>
      <c r="E327" s="60">
        <v>1</v>
      </c>
      <c r="F327" s="60" t="s">
        <v>1</v>
      </c>
      <c r="G327" s="72" t="s">
        <v>12</v>
      </c>
      <c r="H327" s="73">
        <v>501741.18971399998</v>
      </c>
      <c r="I327" s="74">
        <v>1</v>
      </c>
      <c r="J327" s="29">
        <v>500</v>
      </c>
      <c r="K327" s="29" t="s">
        <v>123</v>
      </c>
      <c r="L327" s="29">
        <v>15</v>
      </c>
      <c r="M327" s="29"/>
      <c r="N327" s="29"/>
      <c r="O327" s="29"/>
      <c r="P327" s="73">
        <f t="shared" si="21"/>
        <v>501741.18971399998</v>
      </c>
      <c r="Q327" s="75" t="s">
        <v>52</v>
      </c>
      <c r="R327"/>
      <c r="S327" s="55">
        <f t="shared" si="19"/>
        <v>178218.47058641276</v>
      </c>
      <c r="U327"/>
      <c r="V327"/>
    </row>
    <row r="328" spans="1:22" s="53" customFormat="1" x14ac:dyDescent="0.25">
      <c r="A328" s="26" t="s">
        <v>81</v>
      </c>
      <c r="B328" s="60" t="s">
        <v>13</v>
      </c>
      <c r="C328" s="60" t="s">
        <v>92</v>
      </c>
      <c r="D328" s="60" t="s">
        <v>190</v>
      </c>
      <c r="E328" s="60">
        <v>1</v>
      </c>
      <c r="F328" s="60" t="s">
        <v>1</v>
      </c>
      <c r="G328" s="72" t="s">
        <v>12</v>
      </c>
      <c r="H328" s="73">
        <v>501741.18971399998</v>
      </c>
      <c r="I328" s="74">
        <v>1</v>
      </c>
      <c r="J328" s="29">
        <v>1000</v>
      </c>
      <c r="K328" s="29" t="s">
        <v>123</v>
      </c>
      <c r="L328" s="29">
        <v>15</v>
      </c>
      <c r="M328" s="29"/>
      <c r="N328" s="29"/>
      <c r="O328" s="29"/>
      <c r="P328" s="73">
        <f t="shared" si="21"/>
        <v>501741.18971399998</v>
      </c>
      <c r="Q328" s="75" t="s">
        <v>52</v>
      </c>
      <c r="R328"/>
      <c r="S328" s="55">
        <f t="shared" si="19"/>
        <v>178218.47058641276</v>
      </c>
      <c r="U328"/>
      <c r="V328"/>
    </row>
    <row r="329" spans="1:22" s="53" customFormat="1" x14ac:dyDescent="0.25">
      <c r="A329" s="26" t="s">
        <v>81</v>
      </c>
      <c r="B329" s="60" t="s">
        <v>13</v>
      </c>
      <c r="C329" s="60" t="s">
        <v>92</v>
      </c>
      <c r="D329" s="60" t="s">
        <v>191</v>
      </c>
      <c r="E329" s="60">
        <v>1</v>
      </c>
      <c r="F329" s="60" t="s">
        <v>1</v>
      </c>
      <c r="G329" s="72" t="s">
        <v>12</v>
      </c>
      <c r="H329" s="73">
        <v>501741.18971399998</v>
      </c>
      <c r="I329" s="74">
        <v>1</v>
      </c>
      <c r="J329" s="29">
        <v>1500</v>
      </c>
      <c r="K329" s="29" t="s">
        <v>123</v>
      </c>
      <c r="L329" s="29">
        <v>15</v>
      </c>
      <c r="M329" s="29"/>
      <c r="N329" s="29"/>
      <c r="O329" s="29"/>
      <c r="P329" s="73">
        <f t="shared" si="21"/>
        <v>501741.18971399998</v>
      </c>
      <c r="Q329" s="75" t="s">
        <v>52</v>
      </c>
      <c r="R329"/>
      <c r="S329" s="55">
        <f t="shared" si="19"/>
        <v>178218.47058641276</v>
      </c>
      <c r="U329"/>
      <c r="V329"/>
    </row>
    <row r="330" spans="1:22" s="53" customFormat="1" x14ac:dyDescent="0.25">
      <c r="A330" s="26" t="s">
        <v>81</v>
      </c>
      <c r="B330" s="60" t="s">
        <v>13</v>
      </c>
      <c r="C330" s="60" t="s">
        <v>92</v>
      </c>
      <c r="D330" s="60" t="s">
        <v>192</v>
      </c>
      <c r="E330" s="60">
        <v>1</v>
      </c>
      <c r="F330" s="60" t="s">
        <v>1</v>
      </c>
      <c r="G330" s="72" t="s">
        <v>12</v>
      </c>
      <c r="H330" s="73">
        <v>501741.18971399998</v>
      </c>
      <c r="I330" s="74">
        <v>1</v>
      </c>
      <c r="J330" s="29">
        <v>2500</v>
      </c>
      <c r="K330" s="29" t="s">
        <v>123</v>
      </c>
      <c r="L330" s="29">
        <v>15</v>
      </c>
      <c r="M330" s="29"/>
      <c r="N330" s="29"/>
      <c r="O330" s="29"/>
      <c r="P330" s="73">
        <f t="shared" si="21"/>
        <v>501741.18971399998</v>
      </c>
      <c r="Q330" s="75" t="s">
        <v>52</v>
      </c>
      <c r="R330"/>
      <c r="S330" s="55">
        <f t="shared" si="19"/>
        <v>178218.47058641276</v>
      </c>
      <c r="U330"/>
      <c r="V330"/>
    </row>
    <row r="331" spans="1:22" s="53" customFormat="1" x14ac:dyDescent="0.25">
      <c r="A331" s="26" t="s">
        <v>81</v>
      </c>
      <c r="B331" s="60" t="s">
        <v>13</v>
      </c>
      <c r="C331" s="60" t="s">
        <v>92</v>
      </c>
      <c r="D331" s="60" t="s">
        <v>193</v>
      </c>
      <c r="E331" s="60">
        <v>2</v>
      </c>
      <c r="F331" s="60" t="s">
        <v>1</v>
      </c>
      <c r="G331" s="72" t="s">
        <v>12</v>
      </c>
      <c r="H331" s="73">
        <v>460286.44419999997</v>
      </c>
      <c r="I331" s="74">
        <v>1</v>
      </c>
      <c r="J331" s="29">
        <v>500</v>
      </c>
      <c r="K331" s="29" t="s">
        <v>123</v>
      </c>
      <c r="L331" s="29">
        <v>25</v>
      </c>
      <c r="M331" s="29"/>
      <c r="N331" s="29"/>
      <c r="O331" s="29"/>
      <c r="P331" s="73">
        <f t="shared" si="21"/>
        <v>460286.44419999997</v>
      </c>
      <c r="Q331" s="75" t="s">
        <v>52</v>
      </c>
      <c r="R331"/>
      <c r="S331" s="55">
        <f t="shared" si="19"/>
        <v>163493.74497984</v>
      </c>
      <c r="U331"/>
      <c r="V331"/>
    </row>
    <row r="332" spans="1:22" s="53" customFormat="1" x14ac:dyDescent="0.25">
      <c r="A332" s="26" t="s">
        <v>81</v>
      </c>
      <c r="B332" s="60" t="s">
        <v>13</v>
      </c>
      <c r="C332" s="60" t="s">
        <v>92</v>
      </c>
      <c r="D332" s="60" t="s">
        <v>194</v>
      </c>
      <c r="E332" s="60">
        <v>2</v>
      </c>
      <c r="F332" s="60" t="s">
        <v>1</v>
      </c>
      <c r="G332" s="72" t="s">
        <v>12</v>
      </c>
      <c r="H332" s="73">
        <v>460286.44419999997</v>
      </c>
      <c r="I332" s="74">
        <v>1</v>
      </c>
      <c r="J332" s="29">
        <v>1000</v>
      </c>
      <c r="K332" s="29" t="s">
        <v>123</v>
      </c>
      <c r="L332" s="29">
        <v>25</v>
      </c>
      <c r="M332" s="29"/>
      <c r="N332" s="29"/>
      <c r="O332" s="29"/>
      <c r="P332" s="73">
        <f t="shared" si="21"/>
        <v>460286.44419999997</v>
      </c>
      <c r="Q332" s="75" t="s">
        <v>52</v>
      </c>
      <c r="R332"/>
      <c r="S332" s="55">
        <f t="shared" si="19"/>
        <v>163493.74497984</v>
      </c>
      <c r="U332"/>
      <c r="V332"/>
    </row>
    <row r="333" spans="1:22" s="53" customFormat="1" x14ac:dyDescent="0.25">
      <c r="A333" s="26" t="s">
        <v>81</v>
      </c>
      <c r="B333" s="60" t="s">
        <v>13</v>
      </c>
      <c r="C333" s="60" t="s">
        <v>92</v>
      </c>
      <c r="D333" s="60" t="s">
        <v>195</v>
      </c>
      <c r="E333" s="60">
        <v>2</v>
      </c>
      <c r="F333" s="60" t="s">
        <v>1</v>
      </c>
      <c r="G333" s="72" t="s">
        <v>12</v>
      </c>
      <c r="H333" s="73">
        <v>460286.44419999997</v>
      </c>
      <c r="I333" s="74">
        <v>1</v>
      </c>
      <c r="J333" s="29">
        <v>1500</v>
      </c>
      <c r="K333" s="29" t="s">
        <v>123</v>
      </c>
      <c r="L333" s="29">
        <v>25</v>
      </c>
      <c r="M333" s="29"/>
      <c r="N333" s="29"/>
      <c r="O333" s="29"/>
      <c r="P333" s="73">
        <f t="shared" si="21"/>
        <v>460286.44419999997</v>
      </c>
      <c r="Q333" s="75" t="s">
        <v>52</v>
      </c>
      <c r="R333"/>
      <c r="S333" s="55">
        <f t="shared" si="19"/>
        <v>163493.74497984</v>
      </c>
      <c r="U333"/>
      <c r="V333"/>
    </row>
    <row r="334" spans="1:22" s="53" customFormat="1" x14ac:dyDescent="0.25">
      <c r="A334" s="26" t="s">
        <v>81</v>
      </c>
      <c r="B334" s="60" t="s">
        <v>13</v>
      </c>
      <c r="C334" s="60" t="s">
        <v>92</v>
      </c>
      <c r="D334" s="60" t="s">
        <v>196</v>
      </c>
      <c r="E334" s="60">
        <v>2</v>
      </c>
      <c r="F334" s="60" t="s">
        <v>1</v>
      </c>
      <c r="G334" s="72" t="s">
        <v>12</v>
      </c>
      <c r="H334" s="73">
        <v>460286.44419999997</v>
      </c>
      <c r="I334" s="74">
        <v>1</v>
      </c>
      <c r="J334" s="29">
        <v>2500</v>
      </c>
      <c r="K334" s="29" t="s">
        <v>123</v>
      </c>
      <c r="L334" s="29">
        <v>25</v>
      </c>
      <c r="M334" s="29"/>
      <c r="N334" s="29"/>
      <c r="O334" s="29"/>
      <c r="P334" s="73">
        <f t="shared" si="21"/>
        <v>460286.44419999997</v>
      </c>
      <c r="Q334" s="75" t="s">
        <v>52</v>
      </c>
      <c r="R334"/>
      <c r="S334" s="55">
        <f t="shared" si="19"/>
        <v>163493.74497984</v>
      </c>
      <c r="U334"/>
      <c r="V334"/>
    </row>
    <row r="335" spans="1:22" s="53" customFormat="1" x14ac:dyDescent="0.25">
      <c r="A335" s="26" t="s">
        <v>81</v>
      </c>
      <c r="B335" s="60" t="s">
        <v>13</v>
      </c>
      <c r="C335" s="60" t="s">
        <v>92</v>
      </c>
      <c r="D335" s="60" t="s">
        <v>197</v>
      </c>
      <c r="E335" s="60">
        <v>2</v>
      </c>
      <c r="F335" s="60" t="s">
        <v>1</v>
      </c>
      <c r="G335" s="72" t="s">
        <v>12</v>
      </c>
      <c r="H335" s="73">
        <v>501741.18971399998</v>
      </c>
      <c r="I335" s="74">
        <v>1</v>
      </c>
      <c r="J335" s="29">
        <v>500</v>
      </c>
      <c r="K335" s="29" t="s">
        <v>123</v>
      </c>
      <c r="L335" s="29">
        <v>15</v>
      </c>
      <c r="M335" s="29"/>
      <c r="N335" s="29"/>
      <c r="O335" s="29"/>
      <c r="P335" s="73">
        <f t="shared" si="21"/>
        <v>501741.18971399998</v>
      </c>
      <c r="Q335" s="75" t="s">
        <v>52</v>
      </c>
      <c r="R335"/>
      <c r="S335" s="55">
        <f t="shared" si="19"/>
        <v>178218.47058641276</v>
      </c>
      <c r="U335"/>
      <c r="V335"/>
    </row>
    <row r="336" spans="1:22" s="53" customFormat="1" x14ac:dyDescent="0.25">
      <c r="A336" s="26" t="s">
        <v>81</v>
      </c>
      <c r="B336" s="60" t="s">
        <v>13</v>
      </c>
      <c r="C336" s="60" t="s">
        <v>92</v>
      </c>
      <c r="D336" s="60" t="s">
        <v>198</v>
      </c>
      <c r="E336" s="60">
        <v>2</v>
      </c>
      <c r="F336" s="60" t="s">
        <v>1</v>
      </c>
      <c r="G336" s="72" t="s">
        <v>12</v>
      </c>
      <c r="H336" s="73">
        <v>501741.18971399998</v>
      </c>
      <c r="I336" s="74">
        <v>1</v>
      </c>
      <c r="J336" s="29">
        <v>1000</v>
      </c>
      <c r="K336" s="29" t="s">
        <v>123</v>
      </c>
      <c r="L336" s="29">
        <v>15</v>
      </c>
      <c r="M336" s="29"/>
      <c r="N336" s="29"/>
      <c r="O336" s="29"/>
      <c r="P336" s="73">
        <f t="shared" si="21"/>
        <v>501741.18971399998</v>
      </c>
      <c r="Q336" s="75" t="s">
        <v>52</v>
      </c>
      <c r="R336"/>
      <c r="S336" s="55">
        <f t="shared" si="19"/>
        <v>178218.47058641276</v>
      </c>
      <c r="U336"/>
      <c r="V336"/>
    </row>
    <row r="337" spans="1:22" s="53" customFormat="1" x14ac:dyDescent="0.25">
      <c r="A337" s="26" t="s">
        <v>81</v>
      </c>
      <c r="B337" s="60" t="s">
        <v>13</v>
      </c>
      <c r="C337" s="60" t="s">
        <v>92</v>
      </c>
      <c r="D337" s="60" t="s">
        <v>199</v>
      </c>
      <c r="E337" s="60">
        <v>2</v>
      </c>
      <c r="F337" s="60" t="s">
        <v>1</v>
      </c>
      <c r="G337" s="72" t="s">
        <v>12</v>
      </c>
      <c r="H337" s="73">
        <v>501741.18971399998</v>
      </c>
      <c r="I337" s="74">
        <v>1</v>
      </c>
      <c r="J337" s="29">
        <v>1500</v>
      </c>
      <c r="K337" s="29" t="s">
        <v>123</v>
      </c>
      <c r="L337" s="29">
        <v>15</v>
      </c>
      <c r="M337" s="29"/>
      <c r="N337" s="29"/>
      <c r="O337" s="29"/>
      <c r="P337" s="73">
        <f t="shared" si="21"/>
        <v>501741.18971399998</v>
      </c>
      <c r="Q337" s="75" t="s">
        <v>52</v>
      </c>
      <c r="R337"/>
      <c r="S337" s="55">
        <f t="shared" si="19"/>
        <v>178218.47058641276</v>
      </c>
      <c r="U337"/>
      <c r="V337"/>
    </row>
    <row r="338" spans="1:22" s="53" customFormat="1" x14ac:dyDescent="0.25">
      <c r="A338" s="26" t="s">
        <v>81</v>
      </c>
      <c r="B338" s="60" t="s">
        <v>13</v>
      </c>
      <c r="C338" s="60" t="s">
        <v>92</v>
      </c>
      <c r="D338" s="60" t="s">
        <v>200</v>
      </c>
      <c r="E338" s="60">
        <v>2</v>
      </c>
      <c r="F338" s="60" t="s">
        <v>1</v>
      </c>
      <c r="G338" s="72" t="s">
        <v>12</v>
      </c>
      <c r="H338" s="73">
        <v>501741.18971399998</v>
      </c>
      <c r="I338" s="74">
        <v>1</v>
      </c>
      <c r="J338" s="29">
        <v>2500</v>
      </c>
      <c r="K338" s="29" t="s">
        <v>123</v>
      </c>
      <c r="L338" s="29">
        <v>15</v>
      </c>
      <c r="M338" s="29"/>
      <c r="N338" s="29"/>
      <c r="O338" s="29"/>
      <c r="P338" s="73">
        <f t="shared" si="21"/>
        <v>501741.18971399998</v>
      </c>
      <c r="Q338" s="75" t="s">
        <v>52</v>
      </c>
      <c r="R338"/>
      <c r="S338" s="55">
        <f t="shared" si="19"/>
        <v>178218.47058641276</v>
      </c>
      <c r="U338"/>
      <c r="V338"/>
    </row>
    <row r="339" spans="1:22" s="53" customFormat="1" x14ac:dyDescent="0.25">
      <c r="A339" s="26" t="s">
        <v>81</v>
      </c>
      <c r="B339" s="60" t="s">
        <v>13</v>
      </c>
      <c r="C339" s="60" t="s">
        <v>92</v>
      </c>
      <c r="D339" s="60" t="s">
        <v>193</v>
      </c>
      <c r="E339" s="60">
        <v>3</v>
      </c>
      <c r="F339" s="60" t="s">
        <v>1</v>
      </c>
      <c r="G339" s="72" t="s">
        <v>12</v>
      </c>
      <c r="H339" s="73">
        <v>460286.44419999997</v>
      </c>
      <c r="I339" s="74">
        <v>1</v>
      </c>
      <c r="J339" s="29">
        <v>500</v>
      </c>
      <c r="K339" s="29" t="s">
        <v>123</v>
      </c>
      <c r="L339" s="29">
        <v>25</v>
      </c>
      <c r="M339" s="29"/>
      <c r="N339" s="29"/>
      <c r="O339" s="29"/>
      <c r="P339" s="73">
        <f t="shared" ref="P339:P346" si="23">+I339*H339</f>
        <v>460286.44419999997</v>
      </c>
      <c r="Q339" s="75" t="s">
        <v>52</v>
      </c>
      <c r="R339"/>
      <c r="S339" s="55">
        <f t="shared" si="19"/>
        <v>163493.74497984</v>
      </c>
      <c r="U339"/>
      <c r="V339"/>
    </row>
    <row r="340" spans="1:22" s="53" customFormat="1" x14ac:dyDescent="0.25">
      <c r="A340" s="26" t="s">
        <v>81</v>
      </c>
      <c r="B340" s="60" t="s">
        <v>13</v>
      </c>
      <c r="C340" s="60" t="s">
        <v>92</v>
      </c>
      <c r="D340" s="60" t="s">
        <v>194</v>
      </c>
      <c r="E340" s="60">
        <v>3</v>
      </c>
      <c r="F340" s="60" t="s">
        <v>1</v>
      </c>
      <c r="G340" s="72" t="s">
        <v>12</v>
      </c>
      <c r="H340" s="73">
        <v>460286.44419999997</v>
      </c>
      <c r="I340" s="74">
        <v>1</v>
      </c>
      <c r="J340" s="29">
        <v>1000</v>
      </c>
      <c r="K340" s="29" t="s">
        <v>123</v>
      </c>
      <c r="L340" s="29">
        <v>25</v>
      </c>
      <c r="M340" s="29"/>
      <c r="N340" s="29"/>
      <c r="O340" s="29"/>
      <c r="P340" s="73">
        <f t="shared" si="23"/>
        <v>460286.44419999997</v>
      </c>
      <c r="Q340" s="75" t="s">
        <v>52</v>
      </c>
      <c r="R340"/>
      <c r="S340" s="55">
        <f t="shared" ref="S340:S346" si="24">+$T$275*H340*12/5</f>
        <v>163493.74497984</v>
      </c>
      <c r="U340"/>
      <c r="V340"/>
    </row>
    <row r="341" spans="1:22" s="53" customFormat="1" x14ac:dyDescent="0.25">
      <c r="A341" s="26" t="s">
        <v>81</v>
      </c>
      <c r="B341" s="60" t="s">
        <v>13</v>
      </c>
      <c r="C341" s="60" t="s">
        <v>92</v>
      </c>
      <c r="D341" s="60" t="s">
        <v>195</v>
      </c>
      <c r="E341" s="60">
        <v>3</v>
      </c>
      <c r="F341" s="60" t="s">
        <v>1</v>
      </c>
      <c r="G341" s="72" t="s">
        <v>12</v>
      </c>
      <c r="H341" s="73">
        <v>460286.44419999997</v>
      </c>
      <c r="I341" s="74">
        <v>1</v>
      </c>
      <c r="J341" s="29">
        <v>1500</v>
      </c>
      <c r="K341" s="29" t="s">
        <v>123</v>
      </c>
      <c r="L341" s="29">
        <v>25</v>
      </c>
      <c r="M341" s="29"/>
      <c r="N341" s="29"/>
      <c r="O341" s="29"/>
      <c r="P341" s="73">
        <f t="shared" si="23"/>
        <v>460286.44419999997</v>
      </c>
      <c r="Q341" s="75" t="s">
        <v>52</v>
      </c>
      <c r="R341"/>
      <c r="S341" s="55">
        <f t="shared" si="24"/>
        <v>163493.74497984</v>
      </c>
      <c r="U341"/>
      <c r="V341"/>
    </row>
    <row r="342" spans="1:22" s="53" customFormat="1" x14ac:dyDescent="0.25">
      <c r="A342" s="26" t="s">
        <v>81</v>
      </c>
      <c r="B342" s="60" t="s">
        <v>13</v>
      </c>
      <c r="C342" s="60" t="s">
        <v>92</v>
      </c>
      <c r="D342" s="60" t="s">
        <v>196</v>
      </c>
      <c r="E342" s="60">
        <v>3</v>
      </c>
      <c r="F342" s="60" t="s">
        <v>1</v>
      </c>
      <c r="G342" s="72" t="s">
        <v>12</v>
      </c>
      <c r="H342" s="73">
        <v>460286.44419999997</v>
      </c>
      <c r="I342" s="74">
        <v>1</v>
      </c>
      <c r="J342" s="29">
        <v>2500</v>
      </c>
      <c r="K342" s="29" t="s">
        <v>123</v>
      </c>
      <c r="L342" s="29">
        <v>25</v>
      </c>
      <c r="M342" s="29"/>
      <c r="N342" s="29"/>
      <c r="O342" s="29"/>
      <c r="P342" s="73">
        <f t="shared" si="23"/>
        <v>460286.44419999997</v>
      </c>
      <c r="Q342" s="75" t="s">
        <v>52</v>
      </c>
      <c r="R342"/>
      <c r="S342" s="55">
        <f t="shared" si="24"/>
        <v>163493.74497984</v>
      </c>
      <c r="U342"/>
      <c r="V342"/>
    </row>
    <row r="343" spans="1:22" s="53" customFormat="1" x14ac:dyDescent="0.25">
      <c r="A343" s="26" t="s">
        <v>81</v>
      </c>
      <c r="B343" s="60" t="s">
        <v>13</v>
      </c>
      <c r="C343" s="60" t="s">
        <v>92</v>
      </c>
      <c r="D343" s="60" t="s">
        <v>197</v>
      </c>
      <c r="E343" s="60">
        <v>3</v>
      </c>
      <c r="F343" s="60" t="s">
        <v>1</v>
      </c>
      <c r="G343" s="72" t="s">
        <v>12</v>
      </c>
      <c r="H343" s="73">
        <v>501741.18971399998</v>
      </c>
      <c r="I343" s="74">
        <v>1</v>
      </c>
      <c r="J343" s="29">
        <v>500</v>
      </c>
      <c r="K343" s="29" t="s">
        <v>123</v>
      </c>
      <c r="L343" s="29">
        <v>15</v>
      </c>
      <c r="M343" s="29"/>
      <c r="N343" s="29"/>
      <c r="O343" s="29"/>
      <c r="P343" s="73">
        <f t="shared" si="23"/>
        <v>501741.18971399998</v>
      </c>
      <c r="Q343" s="75" t="s">
        <v>52</v>
      </c>
      <c r="R343"/>
      <c r="S343" s="55">
        <f t="shared" si="24"/>
        <v>178218.47058641276</v>
      </c>
      <c r="U343"/>
      <c r="V343"/>
    </row>
    <row r="344" spans="1:22" s="53" customFormat="1" x14ac:dyDescent="0.25">
      <c r="A344" s="26" t="s">
        <v>81</v>
      </c>
      <c r="B344" s="60" t="s">
        <v>13</v>
      </c>
      <c r="C344" s="60" t="s">
        <v>92</v>
      </c>
      <c r="D344" s="60" t="s">
        <v>198</v>
      </c>
      <c r="E344" s="60">
        <v>3</v>
      </c>
      <c r="F344" s="60" t="s">
        <v>1</v>
      </c>
      <c r="G344" s="72" t="s">
        <v>12</v>
      </c>
      <c r="H344" s="73">
        <v>501741.18971399998</v>
      </c>
      <c r="I344" s="74">
        <v>1</v>
      </c>
      <c r="J344" s="29">
        <v>1000</v>
      </c>
      <c r="K344" s="29" t="s">
        <v>123</v>
      </c>
      <c r="L344" s="29">
        <v>15</v>
      </c>
      <c r="M344" s="29"/>
      <c r="N344" s="29"/>
      <c r="O344" s="29"/>
      <c r="P344" s="73">
        <f t="shared" si="23"/>
        <v>501741.18971399998</v>
      </c>
      <c r="Q344" s="75" t="s">
        <v>52</v>
      </c>
      <c r="R344"/>
      <c r="S344" s="55">
        <f t="shared" si="24"/>
        <v>178218.47058641276</v>
      </c>
      <c r="U344"/>
      <c r="V344"/>
    </row>
    <row r="345" spans="1:22" s="53" customFormat="1" x14ac:dyDescent="0.25">
      <c r="A345" s="26" t="s">
        <v>81</v>
      </c>
      <c r="B345" s="60" t="s">
        <v>13</v>
      </c>
      <c r="C345" s="60" t="s">
        <v>92</v>
      </c>
      <c r="D345" s="60" t="s">
        <v>199</v>
      </c>
      <c r="E345" s="60">
        <v>3</v>
      </c>
      <c r="F345" s="60" t="s">
        <v>1</v>
      </c>
      <c r="G345" s="72" t="s">
        <v>12</v>
      </c>
      <c r="H345" s="73">
        <v>501741.18971399998</v>
      </c>
      <c r="I345" s="74">
        <v>1</v>
      </c>
      <c r="J345" s="29">
        <v>1500</v>
      </c>
      <c r="K345" s="29" t="s">
        <v>123</v>
      </c>
      <c r="L345" s="29">
        <v>15</v>
      </c>
      <c r="M345" s="29"/>
      <c r="N345" s="29"/>
      <c r="O345" s="29"/>
      <c r="P345" s="73">
        <f t="shared" si="23"/>
        <v>501741.18971399998</v>
      </c>
      <c r="Q345" s="75" t="s">
        <v>52</v>
      </c>
      <c r="R345"/>
      <c r="S345" s="55">
        <f t="shared" si="24"/>
        <v>178218.47058641276</v>
      </c>
      <c r="U345"/>
      <c r="V345"/>
    </row>
    <row r="346" spans="1:22" s="53" customFormat="1" x14ac:dyDescent="0.25">
      <c r="A346" s="26" t="s">
        <v>81</v>
      </c>
      <c r="B346" s="60" t="s">
        <v>13</v>
      </c>
      <c r="C346" s="60" t="s">
        <v>92</v>
      </c>
      <c r="D346" s="60" t="s">
        <v>200</v>
      </c>
      <c r="E346" s="60">
        <v>3</v>
      </c>
      <c r="F346" s="60" t="s">
        <v>1</v>
      </c>
      <c r="G346" s="72" t="s">
        <v>12</v>
      </c>
      <c r="H346" s="73">
        <v>501741.18971399998</v>
      </c>
      <c r="I346" s="74">
        <v>1</v>
      </c>
      <c r="J346" s="29">
        <v>2500</v>
      </c>
      <c r="K346" s="29" t="s">
        <v>123</v>
      </c>
      <c r="L346" s="29">
        <v>15</v>
      </c>
      <c r="M346" s="29"/>
      <c r="N346" s="29"/>
      <c r="O346" s="29"/>
      <c r="P346" s="73">
        <f t="shared" si="23"/>
        <v>501741.18971399998</v>
      </c>
      <c r="Q346" s="75" t="s">
        <v>52</v>
      </c>
      <c r="R346"/>
      <c r="S346" s="55">
        <f t="shared" si="24"/>
        <v>178218.47058641276</v>
      </c>
      <c r="U346"/>
      <c r="V346"/>
    </row>
    <row r="347" spans="1:22" x14ac:dyDescent="0.25">
      <c r="A347" s="26" t="s">
        <v>81</v>
      </c>
      <c r="B347" s="60" t="s">
        <v>13</v>
      </c>
      <c r="C347" s="60" t="s">
        <v>93</v>
      </c>
      <c r="D347" s="60" t="s">
        <v>185</v>
      </c>
      <c r="E347" s="60">
        <v>1</v>
      </c>
      <c r="F347" s="60" t="s">
        <v>1</v>
      </c>
      <c r="G347" s="72" t="s">
        <v>12</v>
      </c>
      <c r="H347" s="73">
        <v>581400</v>
      </c>
      <c r="I347" s="74">
        <v>1</v>
      </c>
      <c r="J347" s="29">
        <v>500</v>
      </c>
      <c r="K347" s="29" t="s">
        <v>123</v>
      </c>
      <c r="L347" s="29">
        <v>25</v>
      </c>
      <c r="M347" s="29"/>
      <c r="N347" s="29"/>
      <c r="O347" s="29"/>
      <c r="P347" s="73">
        <f t="shared" si="21"/>
        <v>581400</v>
      </c>
      <c r="Q347" s="75" t="s">
        <v>52</v>
      </c>
      <c r="S347" s="2">
        <f>+$T$347*H347*12</f>
        <v>188373.59999999998</v>
      </c>
      <c r="T347" s="15">
        <v>2.7E-2</v>
      </c>
    </row>
    <row r="348" spans="1:22" x14ac:dyDescent="0.25">
      <c r="A348" s="26" t="s">
        <v>81</v>
      </c>
      <c r="B348" s="60" t="s">
        <v>13</v>
      </c>
      <c r="C348" s="60" t="s">
        <v>93</v>
      </c>
      <c r="D348" s="60" t="s">
        <v>186</v>
      </c>
      <c r="E348" s="60">
        <v>1</v>
      </c>
      <c r="F348" s="60" t="s">
        <v>1</v>
      </c>
      <c r="G348" s="72" t="s">
        <v>12</v>
      </c>
      <c r="H348" s="73">
        <v>2204366.6666666665</v>
      </c>
      <c r="I348" s="74">
        <v>1</v>
      </c>
      <c r="J348" s="29">
        <v>1000</v>
      </c>
      <c r="K348" s="29" t="s">
        <v>123</v>
      </c>
      <c r="L348" s="29">
        <v>25</v>
      </c>
      <c r="M348" s="29"/>
      <c r="N348" s="29"/>
      <c r="O348" s="29"/>
      <c r="P348" s="73">
        <f t="shared" si="21"/>
        <v>2204366.6666666665</v>
      </c>
      <c r="Q348" s="75" t="s">
        <v>52</v>
      </c>
      <c r="S348" s="2">
        <f t="shared" ref="S348:S370" si="25">+$T$347*H348*12</f>
        <v>714214.79999999993</v>
      </c>
    </row>
    <row r="349" spans="1:22" x14ac:dyDescent="0.25">
      <c r="A349" s="26" t="s">
        <v>81</v>
      </c>
      <c r="B349" s="60" t="s">
        <v>13</v>
      </c>
      <c r="C349" s="60" t="s">
        <v>93</v>
      </c>
      <c r="D349" s="60" t="s">
        <v>187</v>
      </c>
      <c r="E349" s="60">
        <v>1</v>
      </c>
      <c r="F349" s="60" t="s">
        <v>1</v>
      </c>
      <c r="G349" s="72" t="s">
        <v>12</v>
      </c>
      <c r="H349" s="73">
        <v>3682433.3333333335</v>
      </c>
      <c r="I349" s="74">
        <v>1</v>
      </c>
      <c r="J349" s="29">
        <v>1500</v>
      </c>
      <c r="K349" s="29" t="s">
        <v>123</v>
      </c>
      <c r="L349" s="29">
        <v>25</v>
      </c>
      <c r="M349" s="29"/>
      <c r="N349" s="29"/>
      <c r="O349" s="29"/>
      <c r="P349" s="73">
        <f t="shared" si="21"/>
        <v>3682433.3333333335</v>
      </c>
      <c r="Q349" s="75" t="s">
        <v>52</v>
      </c>
      <c r="S349" s="2">
        <f t="shared" si="25"/>
        <v>1193108.3999999999</v>
      </c>
    </row>
    <row r="350" spans="1:22" x14ac:dyDescent="0.25">
      <c r="A350" s="26" t="s">
        <v>81</v>
      </c>
      <c r="B350" s="60" t="s">
        <v>13</v>
      </c>
      <c r="C350" s="60" t="s">
        <v>93</v>
      </c>
      <c r="D350" s="60" t="s">
        <v>188</v>
      </c>
      <c r="E350" s="60">
        <v>1</v>
      </c>
      <c r="F350" s="60" t="s">
        <v>1</v>
      </c>
      <c r="G350" s="72" t="s">
        <v>12</v>
      </c>
      <c r="H350" s="73">
        <v>4849100</v>
      </c>
      <c r="I350" s="74">
        <v>1</v>
      </c>
      <c r="J350" s="29">
        <v>2500</v>
      </c>
      <c r="K350" s="29" t="s">
        <v>123</v>
      </c>
      <c r="L350" s="29">
        <v>25</v>
      </c>
      <c r="M350" s="29"/>
      <c r="N350" s="29"/>
      <c r="O350" s="29"/>
      <c r="P350" s="73">
        <f t="shared" si="21"/>
        <v>4849100</v>
      </c>
      <c r="Q350" s="75" t="s">
        <v>52</v>
      </c>
      <c r="S350" s="2">
        <f t="shared" si="25"/>
        <v>1571108.4</v>
      </c>
    </row>
    <row r="351" spans="1:22" x14ac:dyDescent="0.25">
      <c r="A351" s="26" t="s">
        <v>81</v>
      </c>
      <c r="B351" s="60" t="s">
        <v>13</v>
      </c>
      <c r="C351" s="60" t="s">
        <v>93</v>
      </c>
      <c r="D351" s="60" t="s">
        <v>189</v>
      </c>
      <c r="E351" s="60">
        <v>1</v>
      </c>
      <c r="F351" s="60" t="s">
        <v>1</v>
      </c>
      <c r="G351" s="72" t="s">
        <v>12</v>
      </c>
      <c r="H351" s="73">
        <v>581400</v>
      </c>
      <c r="I351" s="74">
        <v>1</v>
      </c>
      <c r="J351" s="29">
        <v>500</v>
      </c>
      <c r="K351" s="29" t="s">
        <v>123</v>
      </c>
      <c r="L351" s="29">
        <v>15</v>
      </c>
      <c r="M351" s="29"/>
      <c r="N351" s="29"/>
      <c r="O351" s="29"/>
      <c r="P351" s="73">
        <f t="shared" si="21"/>
        <v>581400</v>
      </c>
      <c r="Q351" s="75" t="s">
        <v>52</v>
      </c>
      <c r="S351" s="2">
        <f t="shared" si="25"/>
        <v>188373.59999999998</v>
      </c>
    </row>
    <row r="352" spans="1:22" x14ac:dyDescent="0.25">
      <c r="A352" s="26" t="s">
        <v>81</v>
      </c>
      <c r="B352" s="60" t="s">
        <v>13</v>
      </c>
      <c r="C352" s="60" t="s">
        <v>93</v>
      </c>
      <c r="D352" s="60" t="s">
        <v>190</v>
      </c>
      <c r="E352" s="60">
        <v>1</v>
      </c>
      <c r="F352" s="60" t="s">
        <v>1</v>
      </c>
      <c r="G352" s="72" t="s">
        <v>12</v>
      </c>
      <c r="H352" s="73">
        <v>2204366.6666666665</v>
      </c>
      <c r="I352" s="74">
        <v>1</v>
      </c>
      <c r="J352" s="29">
        <v>1000</v>
      </c>
      <c r="K352" s="29" t="s">
        <v>123</v>
      </c>
      <c r="L352" s="29">
        <v>15</v>
      </c>
      <c r="M352" s="29"/>
      <c r="N352" s="29"/>
      <c r="O352" s="29"/>
      <c r="P352" s="73">
        <f t="shared" si="21"/>
        <v>2204366.6666666665</v>
      </c>
      <c r="Q352" s="75" t="s">
        <v>52</v>
      </c>
      <c r="S352" s="2">
        <f t="shared" si="25"/>
        <v>714214.79999999993</v>
      </c>
    </row>
    <row r="353" spans="1:19" x14ac:dyDescent="0.25">
      <c r="A353" s="26" t="s">
        <v>81</v>
      </c>
      <c r="B353" s="60" t="s">
        <v>13</v>
      </c>
      <c r="C353" s="60" t="s">
        <v>93</v>
      </c>
      <c r="D353" s="60" t="s">
        <v>191</v>
      </c>
      <c r="E353" s="60">
        <v>1</v>
      </c>
      <c r="F353" s="60" t="s">
        <v>1</v>
      </c>
      <c r="G353" s="72" t="s">
        <v>12</v>
      </c>
      <c r="H353" s="73">
        <v>3682433.3333333335</v>
      </c>
      <c r="I353" s="74">
        <v>1</v>
      </c>
      <c r="J353" s="29">
        <v>1500</v>
      </c>
      <c r="K353" s="29" t="s">
        <v>123</v>
      </c>
      <c r="L353" s="29">
        <v>15</v>
      </c>
      <c r="M353" s="29"/>
      <c r="N353" s="29"/>
      <c r="O353" s="29"/>
      <c r="P353" s="73">
        <f t="shared" si="21"/>
        <v>3682433.3333333335</v>
      </c>
      <c r="Q353" s="75" t="s">
        <v>52</v>
      </c>
      <c r="S353" s="2">
        <f t="shared" si="25"/>
        <v>1193108.3999999999</v>
      </c>
    </row>
    <row r="354" spans="1:19" x14ac:dyDescent="0.25">
      <c r="A354" s="26" t="s">
        <v>81</v>
      </c>
      <c r="B354" s="60" t="s">
        <v>13</v>
      </c>
      <c r="C354" s="60" t="s">
        <v>93</v>
      </c>
      <c r="D354" s="60" t="s">
        <v>192</v>
      </c>
      <c r="E354" s="60">
        <v>1</v>
      </c>
      <c r="F354" s="60" t="s">
        <v>1</v>
      </c>
      <c r="G354" s="72" t="s">
        <v>12</v>
      </c>
      <c r="H354" s="73">
        <v>4849100</v>
      </c>
      <c r="I354" s="74">
        <v>1</v>
      </c>
      <c r="J354" s="29">
        <v>2500</v>
      </c>
      <c r="K354" s="29" t="s">
        <v>123</v>
      </c>
      <c r="L354" s="29">
        <v>15</v>
      </c>
      <c r="M354" s="29"/>
      <c r="N354" s="29"/>
      <c r="O354" s="29"/>
      <c r="P354" s="73">
        <f t="shared" si="21"/>
        <v>4849100</v>
      </c>
      <c r="Q354" s="75" t="s">
        <v>52</v>
      </c>
      <c r="S354" s="2">
        <f t="shared" si="25"/>
        <v>1571108.4</v>
      </c>
    </row>
    <row r="355" spans="1:19" x14ac:dyDescent="0.25">
      <c r="A355" s="26" t="s">
        <v>81</v>
      </c>
      <c r="B355" s="60" t="s">
        <v>13</v>
      </c>
      <c r="C355" s="60" t="s">
        <v>93</v>
      </c>
      <c r="D355" s="60" t="s">
        <v>193</v>
      </c>
      <c r="E355" s="60">
        <v>2</v>
      </c>
      <c r="F355" s="60" t="s">
        <v>1</v>
      </c>
      <c r="G355" s="72" t="s">
        <v>12</v>
      </c>
      <c r="H355" s="73">
        <v>1555820</v>
      </c>
      <c r="I355" s="74">
        <v>1</v>
      </c>
      <c r="J355" s="29">
        <v>500</v>
      </c>
      <c r="K355" s="29" t="s">
        <v>123</v>
      </c>
      <c r="L355" s="29">
        <v>25</v>
      </c>
      <c r="M355" s="29"/>
      <c r="N355" s="29"/>
      <c r="O355" s="29"/>
      <c r="P355" s="73">
        <f t="shared" si="21"/>
        <v>1555820</v>
      </c>
      <c r="Q355" s="75" t="s">
        <v>52</v>
      </c>
      <c r="S355" s="2">
        <f t="shared" si="25"/>
        <v>504085.68</v>
      </c>
    </row>
    <row r="356" spans="1:19" x14ac:dyDescent="0.25">
      <c r="A356" s="26" t="s">
        <v>81</v>
      </c>
      <c r="B356" s="60" t="s">
        <v>13</v>
      </c>
      <c r="C356" s="60" t="s">
        <v>93</v>
      </c>
      <c r="D356" s="60" t="s">
        <v>194</v>
      </c>
      <c r="E356" s="60">
        <v>2</v>
      </c>
      <c r="F356" s="60" t="s">
        <v>1</v>
      </c>
      <c r="G356" s="72" t="s">
        <v>12</v>
      </c>
      <c r="H356" s="73">
        <v>4382343.333333333</v>
      </c>
      <c r="I356" s="74">
        <v>1</v>
      </c>
      <c r="J356" s="29">
        <v>1000</v>
      </c>
      <c r="K356" s="29" t="s">
        <v>123</v>
      </c>
      <c r="L356" s="29">
        <v>25</v>
      </c>
      <c r="M356" s="29"/>
      <c r="N356" s="29"/>
      <c r="O356" s="29"/>
      <c r="P356" s="73">
        <f t="shared" si="21"/>
        <v>4382343.333333333</v>
      </c>
      <c r="Q356" s="75" t="s">
        <v>52</v>
      </c>
      <c r="S356" s="2">
        <f t="shared" si="25"/>
        <v>1419879.2399999998</v>
      </c>
    </row>
    <row r="357" spans="1:19" x14ac:dyDescent="0.25">
      <c r="A357" s="26" t="s">
        <v>81</v>
      </c>
      <c r="B357" s="60" t="s">
        <v>13</v>
      </c>
      <c r="C357" s="60" t="s">
        <v>93</v>
      </c>
      <c r="D357" s="60" t="s">
        <v>195</v>
      </c>
      <c r="E357" s="60">
        <v>2</v>
      </c>
      <c r="F357" s="60" t="s">
        <v>1</v>
      </c>
      <c r="G357" s="72" t="s">
        <v>12</v>
      </c>
      <c r="H357" s="73">
        <v>7420496.666666667</v>
      </c>
      <c r="I357" s="74">
        <v>1</v>
      </c>
      <c r="J357" s="29">
        <v>1500</v>
      </c>
      <c r="K357" s="29" t="s">
        <v>123</v>
      </c>
      <c r="L357" s="29">
        <v>25</v>
      </c>
      <c r="M357" s="29"/>
      <c r="N357" s="29"/>
      <c r="O357" s="29"/>
      <c r="P357" s="73">
        <f t="shared" si="21"/>
        <v>7420496.666666667</v>
      </c>
      <c r="Q357" s="75" t="s">
        <v>52</v>
      </c>
      <c r="S357" s="2">
        <f t="shared" si="25"/>
        <v>2404240.92</v>
      </c>
    </row>
    <row r="358" spans="1:19" x14ac:dyDescent="0.25">
      <c r="A358" s="26" t="s">
        <v>81</v>
      </c>
      <c r="B358" s="60" t="s">
        <v>13</v>
      </c>
      <c r="C358" s="60" t="s">
        <v>93</v>
      </c>
      <c r="D358" s="60" t="s">
        <v>196</v>
      </c>
      <c r="E358" s="60">
        <v>2</v>
      </c>
      <c r="F358" s="60" t="s">
        <v>1</v>
      </c>
      <c r="G358" s="72" t="s">
        <v>12</v>
      </c>
      <c r="H358" s="73">
        <v>12020496.666666666</v>
      </c>
      <c r="I358" s="74">
        <v>1</v>
      </c>
      <c r="J358" s="29">
        <v>2500</v>
      </c>
      <c r="K358" s="29" t="s">
        <v>123</v>
      </c>
      <c r="L358" s="29">
        <v>25</v>
      </c>
      <c r="M358" s="29"/>
      <c r="N358" s="29"/>
      <c r="O358" s="29"/>
      <c r="P358" s="73">
        <f t="shared" si="21"/>
        <v>12020496.666666666</v>
      </c>
      <c r="Q358" s="75" t="s">
        <v>52</v>
      </c>
      <c r="S358" s="2">
        <f t="shared" si="25"/>
        <v>3894640.92</v>
      </c>
    </row>
    <row r="359" spans="1:19" x14ac:dyDescent="0.25">
      <c r="A359" s="26" t="s">
        <v>81</v>
      </c>
      <c r="B359" s="60" t="s">
        <v>13</v>
      </c>
      <c r="C359" s="60" t="s">
        <v>93</v>
      </c>
      <c r="D359" s="60" t="s">
        <v>197</v>
      </c>
      <c r="E359" s="60">
        <v>2</v>
      </c>
      <c r="F359" s="60" t="s">
        <v>1</v>
      </c>
      <c r="G359" s="72" t="s">
        <v>12</v>
      </c>
      <c r="H359" s="73">
        <v>1555820</v>
      </c>
      <c r="I359" s="74">
        <v>1</v>
      </c>
      <c r="J359" s="29">
        <v>500</v>
      </c>
      <c r="K359" s="29" t="s">
        <v>123</v>
      </c>
      <c r="L359" s="29">
        <v>15</v>
      </c>
      <c r="M359" s="29"/>
      <c r="N359" s="29"/>
      <c r="O359" s="29"/>
      <c r="P359" s="73">
        <f t="shared" si="21"/>
        <v>1555820</v>
      </c>
      <c r="Q359" s="75" t="s">
        <v>52</v>
      </c>
      <c r="S359" s="2">
        <f t="shared" si="25"/>
        <v>504085.68</v>
      </c>
    </row>
    <row r="360" spans="1:19" x14ac:dyDescent="0.25">
      <c r="A360" s="26" t="s">
        <v>81</v>
      </c>
      <c r="B360" s="60" t="s">
        <v>13</v>
      </c>
      <c r="C360" s="60" t="s">
        <v>93</v>
      </c>
      <c r="D360" s="60" t="s">
        <v>198</v>
      </c>
      <c r="E360" s="60">
        <v>2</v>
      </c>
      <c r="F360" s="60" t="s">
        <v>1</v>
      </c>
      <c r="G360" s="72" t="s">
        <v>12</v>
      </c>
      <c r="H360" s="73">
        <v>4382343.333333333</v>
      </c>
      <c r="I360" s="74">
        <v>1</v>
      </c>
      <c r="J360" s="29">
        <v>1000</v>
      </c>
      <c r="K360" s="29" t="s">
        <v>123</v>
      </c>
      <c r="L360" s="29">
        <v>15</v>
      </c>
      <c r="M360" s="29"/>
      <c r="N360" s="29"/>
      <c r="O360" s="29"/>
      <c r="P360" s="73">
        <f t="shared" si="21"/>
        <v>4382343.333333333</v>
      </c>
      <c r="Q360" s="75" t="s">
        <v>52</v>
      </c>
      <c r="S360" s="2">
        <f t="shared" si="25"/>
        <v>1419879.2399999998</v>
      </c>
    </row>
    <row r="361" spans="1:19" x14ac:dyDescent="0.25">
      <c r="A361" s="26" t="s">
        <v>81</v>
      </c>
      <c r="B361" s="60" t="s">
        <v>13</v>
      </c>
      <c r="C361" s="60" t="s">
        <v>93</v>
      </c>
      <c r="D361" s="60" t="s">
        <v>199</v>
      </c>
      <c r="E361" s="60">
        <v>2</v>
      </c>
      <c r="F361" s="60" t="s">
        <v>1</v>
      </c>
      <c r="G361" s="72" t="s">
        <v>12</v>
      </c>
      <c r="H361" s="73">
        <v>7420496.666666667</v>
      </c>
      <c r="I361" s="74">
        <v>1</v>
      </c>
      <c r="J361" s="29">
        <v>1500</v>
      </c>
      <c r="K361" s="29" t="s">
        <v>123</v>
      </c>
      <c r="L361" s="29">
        <v>15</v>
      </c>
      <c r="M361" s="29"/>
      <c r="N361" s="29"/>
      <c r="O361" s="29"/>
      <c r="P361" s="73">
        <f t="shared" si="21"/>
        <v>7420496.666666667</v>
      </c>
      <c r="Q361" s="75" t="s">
        <v>52</v>
      </c>
      <c r="S361" s="2">
        <f t="shared" si="25"/>
        <v>2404240.92</v>
      </c>
    </row>
    <row r="362" spans="1:19" x14ac:dyDescent="0.25">
      <c r="A362" s="26" t="s">
        <v>81</v>
      </c>
      <c r="B362" s="60" t="s">
        <v>13</v>
      </c>
      <c r="C362" s="60" t="s">
        <v>93</v>
      </c>
      <c r="D362" s="60" t="s">
        <v>200</v>
      </c>
      <c r="E362" s="60">
        <v>2</v>
      </c>
      <c r="F362" s="60" t="s">
        <v>1</v>
      </c>
      <c r="G362" s="72" t="s">
        <v>12</v>
      </c>
      <c r="H362" s="73">
        <v>12020496.666666666</v>
      </c>
      <c r="I362" s="74">
        <v>1</v>
      </c>
      <c r="J362" s="29">
        <v>2500</v>
      </c>
      <c r="K362" s="29" t="s">
        <v>123</v>
      </c>
      <c r="L362" s="29">
        <v>15</v>
      </c>
      <c r="M362" s="29"/>
      <c r="N362" s="29"/>
      <c r="O362" s="29"/>
      <c r="P362" s="73">
        <f t="shared" si="21"/>
        <v>12020496.666666666</v>
      </c>
      <c r="Q362" s="75" t="s">
        <v>52</v>
      </c>
      <c r="S362" s="2">
        <f t="shared" si="25"/>
        <v>3894640.92</v>
      </c>
    </row>
    <row r="363" spans="1:19" x14ac:dyDescent="0.25">
      <c r="A363" s="26" t="s">
        <v>81</v>
      </c>
      <c r="B363" s="60" t="s">
        <v>13</v>
      </c>
      <c r="C363" s="60" t="s">
        <v>93</v>
      </c>
      <c r="D363" s="60" t="s">
        <v>193</v>
      </c>
      <c r="E363" s="60">
        <v>3</v>
      </c>
      <c r="F363" s="60" t="s">
        <v>1</v>
      </c>
      <c r="G363" s="72" t="s">
        <v>12</v>
      </c>
      <c r="H363" s="73">
        <v>1555820</v>
      </c>
      <c r="I363" s="74">
        <v>1</v>
      </c>
      <c r="J363" s="29">
        <v>500</v>
      </c>
      <c r="K363" s="29" t="s">
        <v>123</v>
      </c>
      <c r="L363" s="29">
        <v>25</v>
      </c>
      <c r="M363" s="29"/>
      <c r="N363" s="29"/>
      <c r="O363" s="29"/>
      <c r="P363" s="73">
        <f t="shared" ref="P363:P370" si="26">+I363*H363</f>
        <v>1555820</v>
      </c>
      <c r="Q363" s="75" t="s">
        <v>52</v>
      </c>
      <c r="S363" s="2">
        <f t="shared" si="25"/>
        <v>504085.68</v>
      </c>
    </row>
    <row r="364" spans="1:19" x14ac:dyDescent="0.25">
      <c r="A364" s="26" t="s">
        <v>81</v>
      </c>
      <c r="B364" s="60" t="s">
        <v>13</v>
      </c>
      <c r="C364" s="60" t="s">
        <v>93</v>
      </c>
      <c r="D364" s="60" t="s">
        <v>194</v>
      </c>
      <c r="E364" s="60">
        <v>3</v>
      </c>
      <c r="F364" s="60" t="s">
        <v>1</v>
      </c>
      <c r="G364" s="72" t="s">
        <v>12</v>
      </c>
      <c r="H364" s="73">
        <v>4382343.333333333</v>
      </c>
      <c r="I364" s="74">
        <v>1</v>
      </c>
      <c r="J364" s="29">
        <v>1000</v>
      </c>
      <c r="K364" s="29" t="s">
        <v>123</v>
      </c>
      <c r="L364" s="29">
        <v>25</v>
      </c>
      <c r="M364" s="29"/>
      <c r="N364" s="29"/>
      <c r="O364" s="29"/>
      <c r="P364" s="73">
        <f t="shared" si="26"/>
        <v>4382343.333333333</v>
      </c>
      <c r="Q364" s="75" t="s">
        <v>52</v>
      </c>
      <c r="S364" s="2">
        <f t="shared" si="25"/>
        <v>1419879.2399999998</v>
      </c>
    </row>
    <row r="365" spans="1:19" x14ac:dyDescent="0.25">
      <c r="A365" s="26" t="s">
        <v>81</v>
      </c>
      <c r="B365" s="60" t="s">
        <v>13</v>
      </c>
      <c r="C365" s="60" t="s">
        <v>93</v>
      </c>
      <c r="D365" s="60" t="s">
        <v>195</v>
      </c>
      <c r="E365" s="60">
        <v>3</v>
      </c>
      <c r="F365" s="60" t="s">
        <v>1</v>
      </c>
      <c r="G365" s="72" t="s">
        <v>12</v>
      </c>
      <c r="H365" s="73">
        <v>7420496.666666667</v>
      </c>
      <c r="I365" s="74">
        <v>1</v>
      </c>
      <c r="J365" s="29">
        <v>1500</v>
      </c>
      <c r="K365" s="29" t="s">
        <v>123</v>
      </c>
      <c r="L365" s="29">
        <v>25</v>
      </c>
      <c r="M365" s="29"/>
      <c r="N365" s="29"/>
      <c r="O365" s="29"/>
      <c r="P365" s="73">
        <f t="shared" si="26"/>
        <v>7420496.666666667</v>
      </c>
      <c r="Q365" s="75" t="s">
        <v>52</v>
      </c>
      <c r="S365" s="2">
        <f t="shared" si="25"/>
        <v>2404240.92</v>
      </c>
    </row>
    <row r="366" spans="1:19" x14ac:dyDescent="0.25">
      <c r="A366" s="26" t="s">
        <v>81</v>
      </c>
      <c r="B366" s="60" t="s">
        <v>13</v>
      </c>
      <c r="C366" s="60" t="s">
        <v>93</v>
      </c>
      <c r="D366" s="60" t="s">
        <v>196</v>
      </c>
      <c r="E366" s="60">
        <v>3</v>
      </c>
      <c r="F366" s="60" t="s">
        <v>1</v>
      </c>
      <c r="G366" s="72" t="s">
        <v>12</v>
      </c>
      <c r="H366" s="73">
        <v>12020496.666666666</v>
      </c>
      <c r="I366" s="74">
        <v>1</v>
      </c>
      <c r="J366" s="29">
        <v>2500</v>
      </c>
      <c r="K366" s="29" t="s">
        <v>123</v>
      </c>
      <c r="L366" s="29">
        <v>25</v>
      </c>
      <c r="M366" s="29"/>
      <c r="N366" s="29"/>
      <c r="O366" s="29"/>
      <c r="P366" s="73">
        <f t="shared" si="26"/>
        <v>12020496.666666666</v>
      </c>
      <c r="Q366" s="75" t="s">
        <v>52</v>
      </c>
      <c r="S366" s="2">
        <f t="shared" si="25"/>
        <v>3894640.92</v>
      </c>
    </row>
    <row r="367" spans="1:19" x14ac:dyDescent="0.25">
      <c r="A367" s="26" t="s">
        <v>81</v>
      </c>
      <c r="B367" s="60" t="s">
        <v>13</v>
      </c>
      <c r="C367" s="60" t="s">
        <v>93</v>
      </c>
      <c r="D367" s="60" t="s">
        <v>197</v>
      </c>
      <c r="E367" s="60">
        <v>3</v>
      </c>
      <c r="F367" s="60" t="s">
        <v>1</v>
      </c>
      <c r="G367" s="72" t="s">
        <v>12</v>
      </c>
      <c r="H367" s="73">
        <v>1555820</v>
      </c>
      <c r="I367" s="74">
        <v>1</v>
      </c>
      <c r="J367" s="29">
        <v>500</v>
      </c>
      <c r="K367" s="29" t="s">
        <v>123</v>
      </c>
      <c r="L367" s="29">
        <v>15</v>
      </c>
      <c r="M367" s="29"/>
      <c r="N367" s="29"/>
      <c r="O367" s="29"/>
      <c r="P367" s="73">
        <f t="shared" si="26"/>
        <v>1555820</v>
      </c>
      <c r="Q367" s="75" t="s">
        <v>52</v>
      </c>
      <c r="S367" s="2">
        <f t="shared" si="25"/>
        <v>504085.68</v>
      </c>
    </row>
    <row r="368" spans="1:19" x14ac:dyDescent="0.25">
      <c r="A368" s="26" t="s">
        <v>81</v>
      </c>
      <c r="B368" s="60" t="s">
        <v>13</v>
      </c>
      <c r="C368" s="60" t="s">
        <v>93</v>
      </c>
      <c r="D368" s="60" t="s">
        <v>198</v>
      </c>
      <c r="E368" s="60">
        <v>3</v>
      </c>
      <c r="F368" s="60" t="s">
        <v>1</v>
      </c>
      <c r="G368" s="72" t="s">
        <v>12</v>
      </c>
      <c r="H368" s="73">
        <v>4382343.333333333</v>
      </c>
      <c r="I368" s="74">
        <v>1</v>
      </c>
      <c r="J368" s="29">
        <v>1000</v>
      </c>
      <c r="K368" s="29" t="s">
        <v>123</v>
      </c>
      <c r="L368" s="29">
        <v>15</v>
      </c>
      <c r="M368" s="29"/>
      <c r="N368" s="29"/>
      <c r="O368" s="29"/>
      <c r="P368" s="73">
        <f t="shared" si="26"/>
        <v>4382343.333333333</v>
      </c>
      <c r="Q368" s="75" t="s">
        <v>52</v>
      </c>
      <c r="S368" s="2">
        <f t="shared" si="25"/>
        <v>1419879.2399999998</v>
      </c>
    </row>
    <row r="369" spans="1:20" x14ac:dyDescent="0.25">
      <c r="A369" s="26" t="s">
        <v>81</v>
      </c>
      <c r="B369" s="60" t="s">
        <v>13</v>
      </c>
      <c r="C369" s="60" t="s">
        <v>93</v>
      </c>
      <c r="D369" s="60" t="s">
        <v>199</v>
      </c>
      <c r="E369" s="60">
        <v>3</v>
      </c>
      <c r="F369" s="60" t="s">
        <v>1</v>
      </c>
      <c r="G369" s="72" t="s">
        <v>12</v>
      </c>
      <c r="H369" s="73">
        <v>7420496.666666667</v>
      </c>
      <c r="I369" s="74">
        <v>1</v>
      </c>
      <c r="J369" s="29">
        <v>1500</v>
      </c>
      <c r="K369" s="29" t="s">
        <v>123</v>
      </c>
      <c r="L369" s="29">
        <v>15</v>
      </c>
      <c r="M369" s="29"/>
      <c r="N369" s="29"/>
      <c r="O369" s="29"/>
      <c r="P369" s="73">
        <f t="shared" si="26"/>
        <v>7420496.666666667</v>
      </c>
      <c r="Q369" s="75" t="s">
        <v>52</v>
      </c>
      <c r="S369" s="2">
        <f t="shared" si="25"/>
        <v>2404240.92</v>
      </c>
    </row>
    <row r="370" spans="1:20" x14ac:dyDescent="0.25">
      <c r="A370" s="26" t="s">
        <v>81</v>
      </c>
      <c r="B370" s="60" t="s">
        <v>13</v>
      </c>
      <c r="C370" s="60" t="s">
        <v>93</v>
      </c>
      <c r="D370" s="60" t="s">
        <v>200</v>
      </c>
      <c r="E370" s="60">
        <v>3</v>
      </c>
      <c r="F370" s="60" t="s">
        <v>1</v>
      </c>
      <c r="G370" s="72" t="s">
        <v>12</v>
      </c>
      <c r="H370" s="73">
        <v>12020496.666666666</v>
      </c>
      <c r="I370" s="74">
        <v>1</v>
      </c>
      <c r="J370" s="29">
        <v>2500</v>
      </c>
      <c r="K370" s="29" t="s">
        <v>123</v>
      </c>
      <c r="L370" s="29">
        <v>15</v>
      </c>
      <c r="M370" s="29"/>
      <c r="N370" s="29"/>
      <c r="O370" s="29"/>
      <c r="P370" s="73">
        <f t="shared" si="26"/>
        <v>12020496.666666666</v>
      </c>
      <c r="Q370" s="75" t="s">
        <v>52</v>
      </c>
      <c r="S370" s="2">
        <f t="shared" si="25"/>
        <v>3894640.92</v>
      </c>
    </row>
    <row r="371" spans="1:20" x14ac:dyDescent="0.25">
      <c r="A371" s="26" t="s">
        <v>81</v>
      </c>
      <c r="B371" s="60" t="s">
        <v>13</v>
      </c>
      <c r="C371" s="60" t="s">
        <v>94</v>
      </c>
      <c r="D371" s="60" t="s">
        <v>185</v>
      </c>
      <c r="E371" s="60">
        <v>1</v>
      </c>
      <c r="F371" s="60" t="s">
        <v>1</v>
      </c>
      <c r="G371" s="72" t="s">
        <v>12</v>
      </c>
      <c r="H371" s="73">
        <v>3270466.6666666656</v>
      </c>
      <c r="I371" s="74">
        <v>1</v>
      </c>
      <c r="J371" s="29">
        <v>500</v>
      </c>
      <c r="K371" s="29" t="s">
        <v>123</v>
      </c>
      <c r="L371" s="29">
        <v>25</v>
      </c>
      <c r="M371" s="29"/>
      <c r="N371" s="29"/>
      <c r="O371" s="29"/>
      <c r="P371" s="73">
        <f t="shared" si="21"/>
        <v>3270466.6666666656</v>
      </c>
      <c r="Q371" s="75" t="s">
        <v>52</v>
      </c>
      <c r="S371" s="56">
        <f>+$T$371*H371*12</f>
        <v>2315490.3999999966</v>
      </c>
      <c r="T371" s="15">
        <f>1-SUM(T155:T370)</f>
        <v>5.8999999999999941E-2</v>
      </c>
    </row>
    <row r="372" spans="1:20" x14ac:dyDescent="0.25">
      <c r="A372" s="26" t="s">
        <v>81</v>
      </c>
      <c r="B372" s="60" t="s">
        <v>13</v>
      </c>
      <c r="C372" s="60" t="s">
        <v>94</v>
      </c>
      <c r="D372" s="60" t="s">
        <v>186</v>
      </c>
      <c r="E372" s="60">
        <v>1</v>
      </c>
      <c r="F372" s="60" t="s">
        <v>1</v>
      </c>
      <c r="G372" s="72" t="s">
        <v>12</v>
      </c>
      <c r="H372" s="73">
        <v>4538233.3333333312</v>
      </c>
      <c r="I372" s="74">
        <v>1</v>
      </c>
      <c r="J372" s="29">
        <v>1000</v>
      </c>
      <c r="K372" s="29" t="s">
        <v>123</v>
      </c>
      <c r="L372" s="29">
        <v>25</v>
      </c>
      <c r="M372" s="29"/>
      <c r="N372" s="29"/>
      <c r="O372" s="29"/>
      <c r="P372" s="73">
        <f t="shared" si="21"/>
        <v>4538233.3333333312</v>
      </c>
      <c r="Q372" s="75" t="s">
        <v>52</v>
      </c>
      <c r="S372" s="56">
        <f t="shared" ref="S372:S394" si="27">+$T$371*H372*12</f>
        <v>3213069.1999999951</v>
      </c>
    </row>
    <row r="373" spans="1:20" x14ac:dyDescent="0.25">
      <c r="A373" s="26" t="s">
        <v>81</v>
      </c>
      <c r="B373" s="60" t="s">
        <v>13</v>
      </c>
      <c r="C373" s="60" t="s">
        <v>94</v>
      </c>
      <c r="D373" s="60" t="s">
        <v>187</v>
      </c>
      <c r="E373" s="60">
        <v>1</v>
      </c>
      <c r="F373" s="60" t="s">
        <v>1</v>
      </c>
      <c r="G373" s="72" t="s">
        <v>12</v>
      </c>
      <c r="H373" s="73">
        <v>6489366.6666666642</v>
      </c>
      <c r="I373" s="74">
        <v>1</v>
      </c>
      <c r="J373" s="29">
        <v>1500</v>
      </c>
      <c r="K373" s="29" t="s">
        <v>123</v>
      </c>
      <c r="L373" s="29">
        <v>25</v>
      </c>
      <c r="M373" s="29"/>
      <c r="N373" s="29"/>
      <c r="O373" s="29"/>
      <c r="P373" s="73">
        <f t="shared" si="21"/>
        <v>6489366.6666666642</v>
      </c>
      <c r="Q373" s="75" t="s">
        <v>52</v>
      </c>
      <c r="S373" s="56">
        <f t="shared" si="27"/>
        <v>4594471.5999999931</v>
      </c>
    </row>
    <row r="374" spans="1:20" x14ac:dyDescent="0.25">
      <c r="A374" s="26" t="s">
        <v>81</v>
      </c>
      <c r="B374" s="60" t="s">
        <v>13</v>
      </c>
      <c r="C374" s="60" t="s">
        <v>94</v>
      </c>
      <c r="D374" s="60" t="s">
        <v>188</v>
      </c>
      <c r="E374" s="60">
        <v>1</v>
      </c>
      <c r="F374" s="60" t="s">
        <v>1</v>
      </c>
      <c r="G374" s="72" t="s">
        <v>12</v>
      </c>
      <c r="H374" s="73">
        <v>7426699.9999999972</v>
      </c>
      <c r="I374" s="74">
        <v>1</v>
      </c>
      <c r="J374" s="29">
        <v>2500</v>
      </c>
      <c r="K374" s="29" t="s">
        <v>123</v>
      </c>
      <c r="L374" s="29">
        <v>25</v>
      </c>
      <c r="M374" s="29"/>
      <c r="N374" s="29"/>
      <c r="O374" s="29"/>
      <c r="P374" s="73">
        <f t="shared" si="21"/>
        <v>7426699.9999999972</v>
      </c>
      <c r="Q374" s="75" t="s">
        <v>52</v>
      </c>
      <c r="S374" s="56">
        <f t="shared" si="27"/>
        <v>5258103.5999999931</v>
      </c>
    </row>
    <row r="375" spans="1:20" x14ac:dyDescent="0.25">
      <c r="A375" s="26" t="s">
        <v>81</v>
      </c>
      <c r="B375" s="60" t="s">
        <v>13</v>
      </c>
      <c r="C375" s="60" t="s">
        <v>94</v>
      </c>
      <c r="D375" s="60" t="s">
        <v>189</v>
      </c>
      <c r="E375" s="60">
        <v>1</v>
      </c>
      <c r="F375" s="60" t="s">
        <v>1</v>
      </c>
      <c r="G375" s="72" t="s">
        <v>12</v>
      </c>
      <c r="H375" s="73">
        <v>3270466.6666666656</v>
      </c>
      <c r="I375" s="74">
        <v>1</v>
      </c>
      <c r="J375" s="29">
        <v>500</v>
      </c>
      <c r="K375" s="29" t="s">
        <v>123</v>
      </c>
      <c r="L375" s="29">
        <v>15</v>
      </c>
      <c r="M375" s="29"/>
      <c r="N375" s="29"/>
      <c r="O375" s="29"/>
      <c r="P375" s="73">
        <f t="shared" si="21"/>
        <v>3270466.6666666656</v>
      </c>
      <c r="Q375" s="75" t="s">
        <v>52</v>
      </c>
      <c r="S375" s="56">
        <f t="shared" si="27"/>
        <v>2315490.3999999966</v>
      </c>
    </row>
    <row r="376" spans="1:20" x14ac:dyDescent="0.25">
      <c r="A376" s="26" t="s">
        <v>81</v>
      </c>
      <c r="B376" s="60" t="s">
        <v>13</v>
      </c>
      <c r="C376" s="60" t="s">
        <v>94</v>
      </c>
      <c r="D376" s="60" t="s">
        <v>190</v>
      </c>
      <c r="E376" s="60">
        <v>1</v>
      </c>
      <c r="F376" s="60" t="s">
        <v>1</v>
      </c>
      <c r="G376" s="72" t="s">
        <v>12</v>
      </c>
      <c r="H376" s="73">
        <v>4538233.3333333312</v>
      </c>
      <c r="I376" s="74">
        <v>1</v>
      </c>
      <c r="J376" s="29">
        <v>1000</v>
      </c>
      <c r="K376" s="29" t="s">
        <v>123</v>
      </c>
      <c r="L376" s="29">
        <v>15</v>
      </c>
      <c r="M376" s="29"/>
      <c r="N376" s="29"/>
      <c r="O376" s="29"/>
      <c r="P376" s="73">
        <f t="shared" si="21"/>
        <v>4538233.3333333312</v>
      </c>
      <c r="Q376" s="75" t="s">
        <v>52</v>
      </c>
      <c r="S376" s="56">
        <f t="shared" si="27"/>
        <v>3213069.1999999951</v>
      </c>
    </row>
    <row r="377" spans="1:20" x14ac:dyDescent="0.25">
      <c r="A377" s="26" t="s">
        <v>81</v>
      </c>
      <c r="B377" s="60" t="s">
        <v>13</v>
      </c>
      <c r="C377" s="60" t="s">
        <v>94</v>
      </c>
      <c r="D377" s="60" t="s">
        <v>191</v>
      </c>
      <c r="E377" s="60">
        <v>1</v>
      </c>
      <c r="F377" s="60" t="s">
        <v>1</v>
      </c>
      <c r="G377" s="72" t="s">
        <v>12</v>
      </c>
      <c r="H377" s="73">
        <v>6489366.6666666642</v>
      </c>
      <c r="I377" s="74">
        <v>1</v>
      </c>
      <c r="J377" s="29">
        <v>1500</v>
      </c>
      <c r="K377" s="29" t="s">
        <v>123</v>
      </c>
      <c r="L377" s="29">
        <v>15</v>
      </c>
      <c r="M377" s="29"/>
      <c r="N377" s="29"/>
      <c r="O377" s="29"/>
      <c r="P377" s="73">
        <f t="shared" si="21"/>
        <v>6489366.6666666642</v>
      </c>
      <c r="Q377" s="75" t="s">
        <v>52</v>
      </c>
      <c r="S377" s="56">
        <f t="shared" si="27"/>
        <v>4594471.5999999931</v>
      </c>
    </row>
    <row r="378" spans="1:20" x14ac:dyDescent="0.25">
      <c r="A378" s="26" t="s">
        <v>81</v>
      </c>
      <c r="B378" s="60" t="s">
        <v>13</v>
      </c>
      <c r="C378" s="60" t="s">
        <v>94</v>
      </c>
      <c r="D378" s="60" t="s">
        <v>192</v>
      </c>
      <c r="E378" s="60">
        <v>1</v>
      </c>
      <c r="F378" s="60" t="s">
        <v>1</v>
      </c>
      <c r="G378" s="72" t="s">
        <v>12</v>
      </c>
      <c r="H378" s="73">
        <v>7426699.9999999972</v>
      </c>
      <c r="I378" s="74">
        <v>1</v>
      </c>
      <c r="J378" s="29">
        <v>2500</v>
      </c>
      <c r="K378" s="29" t="s">
        <v>123</v>
      </c>
      <c r="L378" s="29">
        <v>15</v>
      </c>
      <c r="M378" s="29"/>
      <c r="N378" s="29"/>
      <c r="O378" s="29"/>
      <c r="P378" s="73">
        <f t="shared" si="21"/>
        <v>7426699.9999999972</v>
      </c>
      <c r="Q378" s="75" t="s">
        <v>52</v>
      </c>
      <c r="S378" s="56">
        <f t="shared" si="27"/>
        <v>5258103.5999999931</v>
      </c>
    </row>
    <row r="379" spans="1:20" x14ac:dyDescent="0.25">
      <c r="A379" s="26" t="s">
        <v>81</v>
      </c>
      <c r="B379" s="60" t="s">
        <v>13</v>
      </c>
      <c r="C379" s="60" t="s">
        <v>94</v>
      </c>
      <c r="D379" s="60" t="s">
        <v>193</v>
      </c>
      <c r="E379" s="60">
        <v>2</v>
      </c>
      <c r="F379" s="60" t="s">
        <v>1</v>
      </c>
      <c r="G379" s="72" t="s">
        <v>12</v>
      </c>
      <c r="H379" s="73">
        <v>4859606.6666666651</v>
      </c>
      <c r="I379" s="74">
        <v>1</v>
      </c>
      <c r="J379" s="29">
        <v>500</v>
      </c>
      <c r="K379" s="29" t="s">
        <v>123</v>
      </c>
      <c r="L379" s="29">
        <v>25</v>
      </c>
      <c r="M379" s="29"/>
      <c r="N379" s="29"/>
      <c r="O379" s="29"/>
      <c r="P379" s="73">
        <f t="shared" si="21"/>
        <v>4859606.6666666651</v>
      </c>
      <c r="Q379" s="75" t="s">
        <v>52</v>
      </c>
      <c r="S379" s="56">
        <f t="shared" si="27"/>
        <v>3440601.5199999958</v>
      </c>
    </row>
    <row r="380" spans="1:20" x14ac:dyDescent="0.25">
      <c r="A380" s="26" t="s">
        <v>81</v>
      </c>
      <c r="B380" s="60" t="s">
        <v>13</v>
      </c>
      <c r="C380" s="60" t="s">
        <v>94</v>
      </c>
      <c r="D380" s="60" t="s">
        <v>194</v>
      </c>
      <c r="E380" s="60">
        <v>2</v>
      </c>
      <c r="F380" s="60" t="s">
        <v>1</v>
      </c>
      <c r="G380" s="72" t="s">
        <v>12</v>
      </c>
      <c r="H380" s="73">
        <v>6690503.3333333312</v>
      </c>
      <c r="I380" s="74">
        <v>1</v>
      </c>
      <c r="J380" s="29">
        <v>1000</v>
      </c>
      <c r="K380" s="29" t="s">
        <v>123</v>
      </c>
      <c r="L380" s="29">
        <v>25</v>
      </c>
      <c r="M380" s="29"/>
      <c r="N380" s="29"/>
      <c r="O380" s="29"/>
      <c r="P380" s="73">
        <f t="shared" si="21"/>
        <v>6690503.3333333312</v>
      </c>
      <c r="Q380" s="75" t="s">
        <v>52</v>
      </c>
      <c r="S380" s="56">
        <f t="shared" si="27"/>
        <v>4736876.3599999938</v>
      </c>
    </row>
    <row r="381" spans="1:20" x14ac:dyDescent="0.25">
      <c r="A381" s="26" t="s">
        <v>81</v>
      </c>
      <c r="B381" s="60" t="s">
        <v>13</v>
      </c>
      <c r="C381" s="60" t="s">
        <v>94</v>
      </c>
      <c r="D381" s="60" t="s">
        <v>195</v>
      </c>
      <c r="E381" s="60">
        <v>2</v>
      </c>
      <c r="F381" s="60" t="s">
        <v>1</v>
      </c>
      <c r="G381" s="72" t="s">
        <v>12</v>
      </c>
      <c r="H381" s="73">
        <v>9123109.9999999963</v>
      </c>
      <c r="I381" s="74">
        <v>1</v>
      </c>
      <c r="J381" s="29">
        <v>1500</v>
      </c>
      <c r="K381" s="29" t="s">
        <v>123</v>
      </c>
      <c r="L381" s="29">
        <v>25</v>
      </c>
      <c r="M381" s="29"/>
      <c r="N381" s="29"/>
      <c r="O381" s="29"/>
      <c r="P381" s="73">
        <f t="shared" si="21"/>
        <v>9123109.9999999963</v>
      </c>
      <c r="Q381" s="75" t="s">
        <v>52</v>
      </c>
      <c r="S381" s="56">
        <f t="shared" si="27"/>
        <v>6459161.8799999915</v>
      </c>
    </row>
    <row r="382" spans="1:20" x14ac:dyDescent="0.25">
      <c r="A382" s="26" t="s">
        <v>81</v>
      </c>
      <c r="B382" s="60" t="s">
        <v>13</v>
      </c>
      <c r="C382" s="60" t="s">
        <v>94</v>
      </c>
      <c r="D382" s="60" t="s">
        <v>196</v>
      </c>
      <c r="E382" s="60">
        <v>2</v>
      </c>
      <c r="F382" s="60" t="s">
        <v>1</v>
      </c>
      <c r="G382" s="72" t="s">
        <v>12</v>
      </c>
      <c r="H382" s="73">
        <v>10331109.999999996</v>
      </c>
      <c r="I382" s="74">
        <v>1</v>
      </c>
      <c r="J382" s="29">
        <v>2500</v>
      </c>
      <c r="K382" s="29" t="s">
        <v>123</v>
      </c>
      <c r="L382" s="29">
        <v>25</v>
      </c>
      <c r="M382" s="29"/>
      <c r="N382" s="29"/>
      <c r="O382" s="29"/>
      <c r="P382" s="73">
        <f t="shared" si="21"/>
        <v>10331109.999999996</v>
      </c>
      <c r="Q382" s="75" t="s">
        <v>52</v>
      </c>
      <c r="S382" s="56">
        <f t="shared" si="27"/>
        <v>7314425.8799999896</v>
      </c>
    </row>
    <row r="383" spans="1:20" x14ac:dyDescent="0.25">
      <c r="A383" s="26" t="s">
        <v>81</v>
      </c>
      <c r="B383" s="60" t="s">
        <v>13</v>
      </c>
      <c r="C383" s="60" t="s">
        <v>94</v>
      </c>
      <c r="D383" s="60" t="s">
        <v>197</v>
      </c>
      <c r="E383" s="60">
        <v>2</v>
      </c>
      <c r="F383" s="60" t="s">
        <v>1</v>
      </c>
      <c r="G383" s="72" t="s">
        <v>12</v>
      </c>
      <c r="H383" s="73">
        <v>4859606.6666666651</v>
      </c>
      <c r="I383" s="74">
        <v>1</v>
      </c>
      <c r="J383" s="29">
        <v>500</v>
      </c>
      <c r="K383" s="29" t="s">
        <v>123</v>
      </c>
      <c r="L383" s="29">
        <v>15</v>
      </c>
      <c r="M383" s="29"/>
      <c r="N383" s="29"/>
      <c r="O383" s="29"/>
      <c r="P383" s="73">
        <f t="shared" si="21"/>
        <v>4859606.6666666651</v>
      </c>
      <c r="Q383" s="75" t="s">
        <v>52</v>
      </c>
      <c r="S383" s="56">
        <f t="shared" si="27"/>
        <v>3440601.5199999958</v>
      </c>
    </row>
    <row r="384" spans="1:20" x14ac:dyDescent="0.25">
      <c r="A384" s="26" t="s">
        <v>81</v>
      </c>
      <c r="B384" s="60" t="s">
        <v>13</v>
      </c>
      <c r="C384" s="60" t="s">
        <v>94</v>
      </c>
      <c r="D384" s="60" t="s">
        <v>198</v>
      </c>
      <c r="E384" s="60">
        <v>2</v>
      </c>
      <c r="F384" s="60" t="s">
        <v>1</v>
      </c>
      <c r="G384" s="72" t="s">
        <v>12</v>
      </c>
      <c r="H384" s="73">
        <v>6690503.3333333312</v>
      </c>
      <c r="I384" s="74">
        <v>1</v>
      </c>
      <c r="J384" s="29">
        <v>1000</v>
      </c>
      <c r="K384" s="29" t="s">
        <v>123</v>
      </c>
      <c r="L384" s="29">
        <v>15</v>
      </c>
      <c r="M384" s="29"/>
      <c r="N384" s="29"/>
      <c r="O384" s="29"/>
      <c r="P384" s="73">
        <f t="shared" si="21"/>
        <v>6690503.3333333312</v>
      </c>
      <c r="Q384" s="75" t="s">
        <v>52</v>
      </c>
      <c r="S384" s="56">
        <f t="shared" si="27"/>
        <v>4736876.3599999938</v>
      </c>
    </row>
    <row r="385" spans="1:22" x14ac:dyDescent="0.25">
      <c r="A385" s="26" t="s">
        <v>81</v>
      </c>
      <c r="B385" s="60" t="s">
        <v>13</v>
      </c>
      <c r="C385" s="60" t="s">
        <v>94</v>
      </c>
      <c r="D385" s="60" t="s">
        <v>199</v>
      </c>
      <c r="E385" s="60">
        <v>2</v>
      </c>
      <c r="F385" s="60" t="s">
        <v>1</v>
      </c>
      <c r="G385" s="72" t="s">
        <v>12</v>
      </c>
      <c r="H385" s="73">
        <v>9123109.9999999963</v>
      </c>
      <c r="I385" s="74">
        <v>1</v>
      </c>
      <c r="J385" s="29">
        <v>1500</v>
      </c>
      <c r="K385" s="29" t="s">
        <v>123</v>
      </c>
      <c r="L385" s="29">
        <v>15</v>
      </c>
      <c r="M385" s="29"/>
      <c r="N385" s="29"/>
      <c r="O385" s="29"/>
      <c r="P385" s="73">
        <f t="shared" si="21"/>
        <v>9123109.9999999963</v>
      </c>
      <c r="Q385" s="75" t="s">
        <v>52</v>
      </c>
      <c r="S385" s="56">
        <f t="shared" si="27"/>
        <v>6459161.8799999915</v>
      </c>
    </row>
    <row r="386" spans="1:22" x14ac:dyDescent="0.25">
      <c r="A386" s="26" t="s">
        <v>81</v>
      </c>
      <c r="B386" s="60" t="s">
        <v>13</v>
      </c>
      <c r="C386" s="60" t="s">
        <v>94</v>
      </c>
      <c r="D386" s="60" t="s">
        <v>200</v>
      </c>
      <c r="E386" s="60">
        <v>2</v>
      </c>
      <c r="F386" s="60" t="s">
        <v>1</v>
      </c>
      <c r="G386" s="72" t="s">
        <v>12</v>
      </c>
      <c r="H386" s="73">
        <v>10331109.999999996</v>
      </c>
      <c r="I386" s="74">
        <v>1</v>
      </c>
      <c r="J386" s="29">
        <v>2500</v>
      </c>
      <c r="K386" s="29" t="s">
        <v>123</v>
      </c>
      <c r="L386" s="29">
        <v>15</v>
      </c>
      <c r="M386" s="29"/>
      <c r="N386" s="29"/>
      <c r="O386" s="29"/>
      <c r="P386" s="73">
        <f t="shared" si="21"/>
        <v>10331109.999999996</v>
      </c>
      <c r="Q386" s="75" t="s">
        <v>52</v>
      </c>
      <c r="S386" s="56">
        <f t="shared" si="27"/>
        <v>7314425.8799999896</v>
      </c>
    </row>
    <row r="387" spans="1:22" x14ac:dyDescent="0.25">
      <c r="A387" s="26" t="s">
        <v>81</v>
      </c>
      <c r="B387" s="60" t="s">
        <v>13</v>
      </c>
      <c r="C387" s="60" t="s">
        <v>94</v>
      </c>
      <c r="D387" s="60" t="s">
        <v>193</v>
      </c>
      <c r="E387" s="60">
        <v>3</v>
      </c>
      <c r="F387" s="60" t="s">
        <v>1</v>
      </c>
      <c r="G387" s="72" t="s">
        <v>12</v>
      </c>
      <c r="H387" s="73">
        <v>4859606.6666666651</v>
      </c>
      <c r="I387" s="74">
        <v>1</v>
      </c>
      <c r="J387" s="29">
        <v>500</v>
      </c>
      <c r="K387" s="29" t="s">
        <v>123</v>
      </c>
      <c r="L387" s="29">
        <v>25</v>
      </c>
      <c r="M387" s="29"/>
      <c r="N387" s="29"/>
      <c r="O387" s="29"/>
      <c r="P387" s="73">
        <f t="shared" ref="P387:P394" si="28">+I387*H387</f>
        <v>4859606.6666666651</v>
      </c>
      <c r="Q387" s="75" t="s">
        <v>52</v>
      </c>
      <c r="S387" s="56">
        <f t="shared" si="27"/>
        <v>3440601.5199999958</v>
      </c>
    </row>
    <row r="388" spans="1:22" x14ac:dyDescent="0.25">
      <c r="A388" s="26" t="s">
        <v>81</v>
      </c>
      <c r="B388" s="60" t="s">
        <v>13</v>
      </c>
      <c r="C388" s="60" t="s">
        <v>94</v>
      </c>
      <c r="D388" s="60" t="s">
        <v>194</v>
      </c>
      <c r="E388" s="60">
        <v>3</v>
      </c>
      <c r="F388" s="60" t="s">
        <v>1</v>
      </c>
      <c r="G388" s="72" t="s">
        <v>12</v>
      </c>
      <c r="H388" s="73">
        <v>6690503.3333333312</v>
      </c>
      <c r="I388" s="74">
        <v>1</v>
      </c>
      <c r="J388" s="29">
        <v>1000</v>
      </c>
      <c r="K388" s="29" t="s">
        <v>123</v>
      </c>
      <c r="L388" s="29">
        <v>25</v>
      </c>
      <c r="M388" s="29"/>
      <c r="N388" s="29"/>
      <c r="O388" s="29"/>
      <c r="P388" s="73">
        <f t="shared" si="28"/>
        <v>6690503.3333333312</v>
      </c>
      <c r="Q388" s="75" t="s">
        <v>52</v>
      </c>
      <c r="S388" s="56">
        <f t="shared" si="27"/>
        <v>4736876.3599999938</v>
      </c>
    </row>
    <row r="389" spans="1:22" x14ac:dyDescent="0.25">
      <c r="A389" s="26" t="s">
        <v>81</v>
      </c>
      <c r="B389" s="60" t="s">
        <v>13</v>
      </c>
      <c r="C389" s="60" t="s">
        <v>94</v>
      </c>
      <c r="D389" s="60" t="s">
        <v>195</v>
      </c>
      <c r="E389" s="60">
        <v>3</v>
      </c>
      <c r="F389" s="60" t="s">
        <v>1</v>
      </c>
      <c r="G389" s="72" t="s">
        <v>12</v>
      </c>
      <c r="H389" s="73">
        <v>9123109.9999999963</v>
      </c>
      <c r="I389" s="74">
        <v>1</v>
      </c>
      <c r="J389" s="29">
        <v>1500</v>
      </c>
      <c r="K389" s="29" t="s">
        <v>123</v>
      </c>
      <c r="L389" s="29">
        <v>25</v>
      </c>
      <c r="M389" s="29"/>
      <c r="N389" s="29"/>
      <c r="O389" s="29"/>
      <c r="P389" s="73">
        <f t="shared" si="28"/>
        <v>9123109.9999999963</v>
      </c>
      <c r="Q389" s="75" t="s">
        <v>52</v>
      </c>
      <c r="S389" s="56">
        <f t="shared" si="27"/>
        <v>6459161.8799999915</v>
      </c>
    </row>
    <row r="390" spans="1:22" x14ac:dyDescent="0.25">
      <c r="A390" s="26" t="s">
        <v>81</v>
      </c>
      <c r="B390" s="60" t="s">
        <v>13</v>
      </c>
      <c r="C390" s="60" t="s">
        <v>94</v>
      </c>
      <c r="D390" s="60" t="s">
        <v>196</v>
      </c>
      <c r="E390" s="60">
        <v>3</v>
      </c>
      <c r="F390" s="60" t="s">
        <v>1</v>
      </c>
      <c r="G390" s="72" t="s">
        <v>12</v>
      </c>
      <c r="H390" s="73">
        <v>10331109.999999996</v>
      </c>
      <c r="I390" s="74">
        <v>1</v>
      </c>
      <c r="J390" s="29">
        <v>2500</v>
      </c>
      <c r="K390" s="29" t="s">
        <v>123</v>
      </c>
      <c r="L390" s="29">
        <v>25</v>
      </c>
      <c r="M390" s="29"/>
      <c r="N390" s="29"/>
      <c r="O390" s="29"/>
      <c r="P390" s="73">
        <f t="shared" si="28"/>
        <v>10331109.999999996</v>
      </c>
      <c r="Q390" s="75" t="s">
        <v>52</v>
      </c>
      <c r="S390" s="56">
        <f t="shared" si="27"/>
        <v>7314425.8799999896</v>
      </c>
    </row>
    <row r="391" spans="1:22" x14ac:dyDescent="0.25">
      <c r="A391" s="26" t="s">
        <v>81</v>
      </c>
      <c r="B391" s="60" t="s">
        <v>13</v>
      </c>
      <c r="C391" s="60" t="s">
        <v>94</v>
      </c>
      <c r="D391" s="60" t="s">
        <v>197</v>
      </c>
      <c r="E391" s="60">
        <v>3</v>
      </c>
      <c r="F391" s="60" t="s">
        <v>1</v>
      </c>
      <c r="G391" s="72" t="s">
        <v>12</v>
      </c>
      <c r="H391" s="73">
        <v>4859606.6666666651</v>
      </c>
      <c r="I391" s="74">
        <v>1</v>
      </c>
      <c r="J391" s="29">
        <v>500</v>
      </c>
      <c r="K391" s="29" t="s">
        <v>123</v>
      </c>
      <c r="L391" s="29">
        <v>15</v>
      </c>
      <c r="M391" s="29"/>
      <c r="N391" s="29"/>
      <c r="O391" s="29"/>
      <c r="P391" s="73">
        <f t="shared" si="28"/>
        <v>4859606.6666666651</v>
      </c>
      <c r="Q391" s="75" t="s">
        <v>52</v>
      </c>
      <c r="S391" s="56">
        <f t="shared" si="27"/>
        <v>3440601.5199999958</v>
      </c>
    </row>
    <row r="392" spans="1:22" x14ac:dyDescent="0.25">
      <c r="A392" s="26" t="s">
        <v>81</v>
      </c>
      <c r="B392" s="60" t="s">
        <v>13</v>
      </c>
      <c r="C392" s="60" t="s">
        <v>94</v>
      </c>
      <c r="D392" s="60" t="s">
        <v>198</v>
      </c>
      <c r="E392" s="60">
        <v>3</v>
      </c>
      <c r="F392" s="60" t="s">
        <v>1</v>
      </c>
      <c r="G392" s="72" t="s">
        <v>12</v>
      </c>
      <c r="H392" s="73">
        <v>6690503.3333333312</v>
      </c>
      <c r="I392" s="74">
        <v>1</v>
      </c>
      <c r="J392" s="29">
        <v>1000</v>
      </c>
      <c r="K392" s="29" t="s">
        <v>123</v>
      </c>
      <c r="L392" s="29">
        <v>15</v>
      </c>
      <c r="M392" s="29"/>
      <c r="N392" s="29"/>
      <c r="O392" s="29"/>
      <c r="P392" s="73">
        <f t="shared" si="28"/>
        <v>6690503.3333333312</v>
      </c>
      <c r="Q392" s="75" t="s">
        <v>52</v>
      </c>
      <c r="S392" s="56">
        <f t="shared" si="27"/>
        <v>4736876.3599999938</v>
      </c>
    </row>
    <row r="393" spans="1:22" x14ac:dyDescent="0.25">
      <c r="A393" s="26" t="s">
        <v>81</v>
      </c>
      <c r="B393" s="60" t="s">
        <v>13</v>
      </c>
      <c r="C393" s="60" t="s">
        <v>94</v>
      </c>
      <c r="D393" s="60" t="s">
        <v>199</v>
      </c>
      <c r="E393" s="60">
        <v>3</v>
      </c>
      <c r="F393" s="60" t="s">
        <v>1</v>
      </c>
      <c r="G393" s="72" t="s">
        <v>12</v>
      </c>
      <c r="H393" s="73">
        <v>9123109.9999999963</v>
      </c>
      <c r="I393" s="74">
        <v>1</v>
      </c>
      <c r="J393" s="29">
        <v>1500</v>
      </c>
      <c r="K393" s="29" t="s">
        <v>123</v>
      </c>
      <c r="L393" s="29">
        <v>15</v>
      </c>
      <c r="M393" s="29"/>
      <c r="N393" s="29"/>
      <c r="O393" s="29"/>
      <c r="P393" s="73">
        <f t="shared" si="28"/>
        <v>9123109.9999999963</v>
      </c>
      <c r="Q393" s="75" t="s">
        <v>52</v>
      </c>
      <c r="S393" s="56">
        <f t="shared" si="27"/>
        <v>6459161.8799999915</v>
      </c>
    </row>
    <row r="394" spans="1:22" x14ac:dyDescent="0.25">
      <c r="A394" s="26" t="s">
        <v>81</v>
      </c>
      <c r="B394" s="60" t="s">
        <v>13</v>
      </c>
      <c r="C394" s="60" t="s">
        <v>94</v>
      </c>
      <c r="D394" s="60" t="s">
        <v>200</v>
      </c>
      <c r="E394" s="60">
        <v>3</v>
      </c>
      <c r="F394" s="60" t="s">
        <v>1</v>
      </c>
      <c r="G394" s="72" t="s">
        <v>12</v>
      </c>
      <c r="H394" s="73">
        <v>10331109.999999996</v>
      </c>
      <c r="I394" s="74">
        <v>1</v>
      </c>
      <c r="J394" s="29">
        <v>2500</v>
      </c>
      <c r="K394" s="29" t="s">
        <v>123</v>
      </c>
      <c r="L394" s="29">
        <v>15</v>
      </c>
      <c r="M394" s="29"/>
      <c r="N394" s="29"/>
      <c r="O394" s="29"/>
      <c r="P394" s="73">
        <f t="shared" si="28"/>
        <v>10331109.999999996</v>
      </c>
      <c r="Q394" s="75" t="s">
        <v>52</v>
      </c>
      <c r="S394" s="56">
        <f t="shared" si="27"/>
        <v>7314425.8799999896</v>
      </c>
    </row>
    <row r="395" spans="1:22" s="53" customFormat="1" x14ac:dyDescent="0.25">
      <c r="A395" s="26" t="s">
        <v>81</v>
      </c>
      <c r="B395" s="60" t="s">
        <v>13</v>
      </c>
      <c r="C395" s="60" t="s">
        <v>95</v>
      </c>
      <c r="D395" s="60" t="s">
        <v>185</v>
      </c>
      <c r="E395" s="60">
        <v>1</v>
      </c>
      <c r="F395" s="60" t="s">
        <v>1</v>
      </c>
      <c r="G395" s="72" t="s">
        <v>12</v>
      </c>
      <c r="H395" s="73">
        <v>1749026.3960279999</v>
      </c>
      <c r="I395" s="74">
        <v>1</v>
      </c>
      <c r="J395" s="29">
        <v>500</v>
      </c>
      <c r="K395" s="29" t="s">
        <v>123</v>
      </c>
      <c r="L395" s="29">
        <v>25</v>
      </c>
      <c r="M395" s="29"/>
      <c r="N395" s="29"/>
      <c r="O395" s="29"/>
      <c r="P395" s="73">
        <f t="shared" si="21"/>
        <v>1749026.3960279999</v>
      </c>
      <c r="Q395" s="75" t="s">
        <v>52</v>
      </c>
      <c r="R395"/>
      <c r="S395" s="55">
        <f>+$T$275*H395*12/5</f>
        <v>621254.17586914555</v>
      </c>
      <c r="U395"/>
      <c r="V395"/>
    </row>
    <row r="396" spans="1:22" s="53" customFormat="1" x14ac:dyDescent="0.25">
      <c r="A396" s="26" t="s">
        <v>81</v>
      </c>
      <c r="B396" s="60" t="s">
        <v>13</v>
      </c>
      <c r="C396" s="60" t="s">
        <v>95</v>
      </c>
      <c r="D396" s="60" t="s">
        <v>186</v>
      </c>
      <c r="E396" s="60">
        <v>1</v>
      </c>
      <c r="F396" s="60" t="s">
        <v>1</v>
      </c>
      <c r="G396" s="72" t="s">
        <v>12</v>
      </c>
      <c r="H396" s="73">
        <v>2249266.3960279999</v>
      </c>
      <c r="I396" s="74">
        <v>1</v>
      </c>
      <c r="J396" s="29">
        <v>1000</v>
      </c>
      <c r="K396" s="29" t="s">
        <v>123</v>
      </c>
      <c r="L396" s="29">
        <v>25</v>
      </c>
      <c r="M396" s="29"/>
      <c r="N396" s="29"/>
      <c r="O396" s="29"/>
      <c r="P396" s="73">
        <f t="shared" si="21"/>
        <v>2249266.3960279999</v>
      </c>
      <c r="Q396" s="75" t="s">
        <v>52</v>
      </c>
      <c r="R396"/>
      <c r="S396" s="55">
        <f t="shared" ref="S396:S442" si="29">+$T$275*H396*12/5</f>
        <v>798939.42386914557</v>
      </c>
      <c r="U396"/>
      <c r="V396"/>
    </row>
    <row r="397" spans="1:22" s="53" customFormat="1" x14ac:dyDescent="0.25">
      <c r="A397" s="26" t="s">
        <v>81</v>
      </c>
      <c r="B397" s="60" t="s">
        <v>13</v>
      </c>
      <c r="C397" s="60" t="s">
        <v>95</v>
      </c>
      <c r="D397" s="60" t="s">
        <v>187</v>
      </c>
      <c r="E397" s="60">
        <v>1</v>
      </c>
      <c r="F397" s="60" t="s">
        <v>1</v>
      </c>
      <c r="G397" s="72" t="s">
        <v>12</v>
      </c>
      <c r="H397" s="73">
        <v>2590653.0626946664</v>
      </c>
      <c r="I397" s="74">
        <v>1</v>
      </c>
      <c r="J397" s="29">
        <v>1500</v>
      </c>
      <c r="K397" s="29" t="s">
        <v>123</v>
      </c>
      <c r="L397" s="29">
        <v>25</v>
      </c>
      <c r="M397" s="29"/>
      <c r="N397" s="29"/>
      <c r="O397" s="29"/>
      <c r="P397" s="73">
        <f t="shared" si="21"/>
        <v>2590653.0626946664</v>
      </c>
      <c r="Q397" s="75" t="s">
        <v>52</v>
      </c>
      <c r="R397"/>
      <c r="S397" s="55">
        <f t="shared" si="29"/>
        <v>920199.96786914545</v>
      </c>
      <c r="U397"/>
      <c r="V397"/>
    </row>
    <row r="398" spans="1:22" s="53" customFormat="1" x14ac:dyDescent="0.25">
      <c r="A398" s="26" t="s">
        <v>81</v>
      </c>
      <c r="B398" s="60" t="s">
        <v>13</v>
      </c>
      <c r="C398" s="60" t="s">
        <v>95</v>
      </c>
      <c r="D398" s="60" t="s">
        <v>188</v>
      </c>
      <c r="E398" s="60">
        <v>1</v>
      </c>
      <c r="F398" s="60" t="s">
        <v>1</v>
      </c>
      <c r="G398" s="72" t="s">
        <v>12</v>
      </c>
      <c r="H398" s="73">
        <v>2590653.0626946664</v>
      </c>
      <c r="I398" s="74">
        <v>1</v>
      </c>
      <c r="J398" s="29">
        <v>2500</v>
      </c>
      <c r="K398" s="29" t="s">
        <v>123</v>
      </c>
      <c r="L398" s="29">
        <v>25</v>
      </c>
      <c r="M398" s="29"/>
      <c r="N398" s="29"/>
      <c r="O398" s="29"/>
      <c r="P398" s="73">
        <f t="shared" si="21"/>
        <v>2590653.0626946664</v>
      </c>
      <c r="Q398" s="75" t="s">
        <v>52</v>
      </c>
      <c r="R398"/>
      <c r="S398" s="55">
        <f t="shared" si="29"/>
        <v>920199.96786914545</v>
      </c>
      <c r="U398"/>
      <c r="V398"/>
    </row>
    <row r="399" spans="1:22" s="53" customFormat="1" x14ac:dyDescent="0.25">
      <c r="A399" s="26" t="s">
        <v>81</v>
      </c>
      <c r="B399" s="60" t="s">
        <v>13</v>
      </c>
      <c r="C399" s="60" t="s">
        <v>95</v>
      </c>
      <c r="D399" s="60" t="s">
        <v>189</v>
      </c>
      <c r="E399" s="60">
        <v>1</v>
      </c>
      <c r="F399" s="60" t="s">
        <v>1</v>
      </c>
      <c r="G399" s="72" t="s">
        <v>12</v>
      </c>
      <c r="H399" s="73">
        <v>1683681.5350666668</v>
      </c>
      <c r="I399" s="74">
        <v>1</v>
      </c>
      <c r="J399" s="29">
        <v>500</v>
      </c>
      <c r="K399" s="29" t="s">
        <v>123</v>
      </c>
      <c r="L399" s="29">
        <v>15</v>
      </c>
      <c r="M399" s="29"/>
      <c r="N399" s="29"/>
      <c r="O399" s="29"/>
      <c r="P399" s="73">
        <f t="shared" si="21"/>
        <v>1683681.5350666668</v>
      </c>
      <c r="Q399" s="75" t="s">
        <v>52</v>
      </c>
      <c r="R399"/>
      <c r="S399" s="55">
        <f t="shared" si="29"/>
        <v>598043.68125567993</v>
      </c>
      <c r="U399"/>
      <c r="V399"/>
    </row>
    <row r="400" spans="1:22" s="53" customFormat="1" x14ac:dyDescent="0.25">
      <c r="A400" s="26" t="s">
        <v>81</v>
      </c>
      <c r="B400" s="60" t="s">
        <v>13</v>
      </c>
      <c r="C400" s="60" t="s">
        <v>95</v>
      </c>
      <c r="D400" s="60" t="s">
        <v>190</v>
      </c>
      <c r="E400" s="60">
        <v>1</v>
      </c>
      <c r="F400" s="60" t="s">
        <v>1</v>
      </c>
      <c r="G400" s="72" t="s">
        <v>12</v>
      </c>
      <c r="H400" s="73">
        <v>2183921.5350666665</v>
      </c>
      <c r="I400" s="74">
        <v>1</v>
      </c>
      <c r="J400" s="29">
        <v>1000</v>
      </c>
      <c r="K400" s="29" t="s">
        <v>123</v>
      </c>
      <c r="L400" s="29">
        <v>15</v>
      </c>
      <c r="M400" s="29"/>
      <c r="N400" s="29"/>
      <c r="O400" s="29"/>
      <c r="P400" s="73">
        <f t="shared" si="21"/>
        <v>2183921.5350666665</v>
      </c>
      <c r="Q400" s="75" t="s">
        <v>52</v>
      </c>
      <c r="R400"/>
      <c r="S400" s="55">
        <f t="shared" si="29"/>
        <v>775728.92925567995</v>
      </c>
      <c r="U400"/>
      <c r="V400"/>
    </row>
    <row r="401" spans="1:22" s="53" customFormat="1" x14ac:dyDescent="0.25">
      <c r="A401" s="26" t="s">
        <v>81</v>
      </c>
      <c r="B401" s="60" t="s">
        <v>13</v>
      </c>
      <c r="C401" s="60" t="s">
        <v>95</v>
      </c>
      <c r="D401" s="60" t="s">
        <v>191</v>
      </c>
      <c r="E401" s="60">
        <v>1</v>
      </c>
      <c r="F401" s="60" t="s">
        <v>1</v>
      </c>
      <c r="G401" s="72" t="s">
        <v>12</v>
      </c>
      <c r="H401" s="73">
        <v>2525308.2017333335</v>
      </c>
      <c r="I401" s="74">
        <v>1</v>
      </c>
      <c r="J401" s="29">
        <v>1500</v>
      </c>
      <c r="K401" s="29" t="s">
        <v>123</v>
      </c>
      <c r="L401" s="29">
        <v>15</v>
      </c>
      <c r="M401" s="29"/>
      <c r="N401" s="29"/>
      <c r="O401" s="29"/>
      <c r="P401" s="73">
        <f t="shared" si="21"/>
        <v>2525308.2017333335</v>
      </c>
      <c r="Q401" s="75" t="s">
        <v>52</v>
      </c>
      <c r="R401"/>
      <c r="S401" s="55">
        <f t="shared" si="29"/>
        <v>896989.47325568018</v>
      </c>
      <c r="U401"/>
      <c r="V401"/>
    </row>
    <row r="402" spans="1:22" s="53" customFormat="1" x14ac:dyDescent="0.25">
      <c r="A402" s="26" t="s">
        <v>81</v>
      </c>
      <c r="B402" s="60" t="s">
        <v>13</v>
      </c>
      <c r="C402" s="60" t="s">
        <v>95</v>
      </c>
      <c r="D402" s="60" t="s">
        <v>192</v>
      </c>
      <c r="E402" s="60">
        <v>1</v>
      </c>
      <c r="F402" s="60" t="s">
        <v>1</v>
      </c>
      <c r="G402" s="72" t="s">
        <v>12</v>
      </c>
      <c r="H402" s="73">
        <v>2525308.2017333335</v>
      </c>
      <c r="I402" s="74">
        <v>1</v>
      </c>
      <c r="J402" s="29">
        <v>2500</v>
      </c>
      <c r="K402" s="29" t="s">
        <v>123</v>
      </c>
      <c r="L402" s="29">
        <v>15</v>
      </c>
      <c r="M402" s="29"/>
      <c r="N402" s="29"/>
      <c r="O402" s="29"/>
      <c r="P402" s="73">
        <f t="shared" si="21"/>
        <v>2525308.2017333335</v>
      </c>
      <c r="Q402" s="75" t="s">
        <v>52</v>
      </c>
      <c r="R402"/>
      <c r="S402" s="55">
        <f t="shared" si="29"/>
        <v>896989.47325568018</v>
      </c>
      <c r="U402"/>
      <c r="V402"/>
    </row>
    <row r="403" spans="1:22" s="53" customFormat="1" x14ac:dyDescent="0.25">
      <c r="A403" s="26" t="s">
        <v>81</v>
      </c>
      <c r="B403" s="60" t="s">
        <v>13</v>
      </c>
      <c r="C403" s="60" t="s">
        <v>95</v>
      </c>
      <c r="D403" s="60" t="s">
        <v>193</v>
      </c>
      <c r="E403" s="60">
        <v>2</v>
      </c>
      <c r="F403" s="60" t="s">
        <v>1</v>
      </c>
      <c r="G403" s="72" t="s">
        <v>12</v>
      </c>
      <c r="H403" s="73">
        <v>1940242.3960279999</v>
      </c>
      <c r="I403" s="74">
        <v>1</v>
      </c>
      <c r="J403" s="29">
        <v>500</v>
      </c>
      <c r="K403" s="29" t="s">
        <v>123</v>
      </c>
      <c r="L403" s="29">
        <v>25</v>
      </c>
      <c r="M403" s="29"/>
      <c r="N403" s="29"/>
      <c r="O403" s="29"/>
      <c r="P403" s="73">
        <f t="shared" si="21"/>
        <v>1940242.3960279999</v>
      </c>
      <c r="Q403" s="75" t="s">
        <v>52</v>
      </c>
      <c r="R403"/>
      <c r="S403" s="55">
        <f t="shared" si="29"/>
        <v>689174.09906914551</v>
      </c>
      <c r="U403"/>
      <c r="V403"/>
    </row>
    <row r="404" spans="1:22" s="53" customFormat="1" x14ac:dyDescent="0.25">
      <c r="A404" s="26" t="s">
        <v>81</v>
      </c>
      <c r="B404" s="60" t="s">
        <v>13</v>
      </c>
      <c r="C404" s="60" t="s">
        <v>95</v>
      </c>
      <c r="D404" s="60" t="s">
        <v>194</v>
      </c>
      <c r="E404" s="60">
        <v>2</v>
      </c>
      <c r="F404" s="60" t="s">
        <v>1</v>
      </c>
      <c r="G404" s="72" t="s">
        <v>12</v>
      </c>
      <c r="H404" s="73">
        <v>2590554.3960279999</v>
      </c>
      <c r="I404" s="74">
        <v>1</v>
      </c>
      <c r="J404" s="29">
        <v>1000</v>
      </c>
      <c r="K404" s="29" t="s">
        <v>123</v>
      </c>
      <c r="L404" s="29">
        <v>25</v>
      </c>
      <c r="M404" s="29"/>
      <c r="N404" s="29"/>
      <c r="O404" s="29"/>
      <c r="P404" s="73">
        <f t="shared" si="21"/>
        <v>2590554.3960279999</v>
      </c>
      <c r="Q404" s="75" t="s">
        <v>52</v>
      </c>
      <c r="R404"/>
      <c r="S404" s="55">
        <f t="shared" si="29"/>
        <v>920164.92146914569</v>
      </c>
      <c r="U404"/>
      <c r="V404"/>
    </row>
    <row r="405" spans="1:22" s="53" customFormat="1" x14ac:dyDescent="0.25">
      <c r="A405" s="26" t="s">
        <v>81</v>
      </c>
      <c r="B405" s="60" t="s">
        <v>13</v>
      </c>
      <c r="C405" s="60" t="s">
        <v>95</v>
      </c>
      <c r="D405" s="60" t="s">
        <v>195</v>
      </c>
      <c r="E405" s="60">
        <v>2</v>
      </c>
      <c r="F405" s="60" t="s">
        <v>1</v>
      </c>
      <c r="G405" s="72" t="s">
        <v>12</v>
      </c>
      <c r="H405" s="73">
        <v>3034357.0626946664</v>
      </c>
      <c r="I405" s="74">
        <v>1</v>
      </c>
      <c r="J405" s="29">
        <v>1500</v>
      </c>
      <c r="K405" s="29" t="s">
        <v>123</v>
      </c>
      <c r="L405" s="29">
        <v>25</v>
      </c>
      <c r="M405" s="29"/>
      <c r="N405" s="29"/>
      <c r="O405" s="29"/>
      <c r="P405" s="73">
        <f t="shared" si="21"/>
        <v>3034357.0626946664</v>
      </c>
      <c r="Q405" s="75" t="s">
        <v>52</v>
      </c>
      <c r="R405"/>
      <c r="S405" s="55">
        <f t="shared" si="29"/>
        <v>1077803.6286691453</v>
      </c>
      <c r="U405"/>
      <c r="V405"/>
    </row>
    <row r="406" spans="1:22" s="53" customFormat="1" x14ac:dyDescent="0.25">
      <c r="A406" s="26" t="s">
        <v>81</v>
      </c>
      <c r="B406" s="60" t="s">
        <v>13</v>
      </c>
      <c r="C406" s="60" t="s">
        <v>95</v>
      </c>
      <c r="D406" s="60" t="s">
        <v>196</v>
      </c>
      <c r="E406" s="60">
        <v>2</v>
      </c>
      <c r="F406" s="60" t="s">
        <v>1</v>
      </c>
      <c r="G406" s="72" t="s">
        <v>12</v>
      </c>
      <c r="H406" s="73">
        <v>3034357.0626946664</v>
      </c>
      <c r="I406" s="74">
        <v>1</v>
      </c>
      <c r="J406" s="29">
        <v>2500</v>
      </c>
      <c r="K406" s="29" t="s">
        <v>123</v>
      </c>
      <c r="L406" s="29">
        <v>25</v>
      </c>
      <c r="M406" s="29"/>
      <c r="N406" s="29"/>
      <c r="O406" s="29"/>
      <c r="P406" s="73">
        <f t="shared" si="21"/>
        <v>3034357.0626946664</v>
      </c>
      <c r="Q406" s="75" t="s">
        <v>52</v>
      </c>
      <c r="R406"/>
      <c r="S406" s="55">
        <f t="shared" si="29"/>
        <v>1077803.6286691453</v>
      </c>
      <c r="U406"/>
      <c r="V406"/>
    </row>
    <row r="407" spans="1:22" s="53" customFormat="1" x14ac:dyDescent="0.25">
      <c r="A407" s="26" t="s">
        <v>81</v>
      </c>
      <c r="B407" s="60" t="s">
        <v>13</v>
      </c>
      <c r="C407" s="60" t="s">
        <v>95</v>
      </c>
      <c r="D407" s="60" t="s">
        <v>197</v>
      </c>
      <c r="E407" s="60">
        <v>2</v>
      </c>
      <c r="F407" s="60" t="s">
        <v>1</v>
      </c>
      <c r="G407" s="72" t="s">
        <v>12</v>
      </c>
      <c r="H407" s="73">
        <v>1874897.5350666668</v>
      </c>
      <c r="I407" s="74">
        <v>1</v>
      </c>
      <c r="J407" s="29">
        <v>500</v>
      </c>
      <c r="K407" s="29" t="s">
        <v>123</v>
      </c>
      <c r="L407" s="29">
        <v>15</v>
      </c>
      <c r="M407" s="29"/>
      <c r="N407" s="29"/>
      <c r="O407" s="29"/>
      <c r="P407" s="73">
        <f t="shared" ref="P407:P502" si="30">+I407*H407</f>
        <v>1874897.5350666668</v>
      </c>
      <c r="Q407" s="75" t="s">
        <v>52</v>
      </c>
      <c r="R407"/>
      <c r="S407" s="55">
        <f t="shared" si="29"/>
        <v>665963.60445568</v>
      </c>
      <c r="U407"/>
      <c r="V407"/>
    </row>
    <row r="408" spans="1:22" s="53" customFormat="1" x14ac:dyDescent="0.25">
      <c r="A408" s="26" t="s">
        <v>81</v>
      </c>
      <c r="B408" s="60" t="s">
        <v>13</v>
      </c>
      <c r="C408" s="60" t="s">
        <v>95</v>
      </c>
      <c r="D408" s="60" t="s">
        <v>198</v>
      </c>
      <c r="E408" s="60">
        <v>2</v>
      </c>
      <c r="F408" s="60" t="s">
        <v>1</v>
      </c>
      <c r="G408" s="72" t="s">
        <v>12</v>
      </c>
      <c r="H408" s="73">
        <v>2525209.5350666665</v>
      </c>
      <c r="I408" s="74">
        <v>1</v>
      </c>
      <c r="J408" s="29">
        <v>1000</v>
      </c>
      <c r="K408" s="29" t="s">
        <v>123</v>
      </c>
      <c r="L408" s="29">
        <v>15</v>
      </c>
      <c r="M408" s="29"/>
      <c r="N408" s="29"/>
      <c r="O408" s="29"/>
      <c r="P408" s="73">
        <f t="shared" si="30"/>
        <v>2525209.5350666665</v>
      </c>
      <c r="Q408" s="75" t="s">
        <v>52</v>
      </c>
      <c r="R408"/>
      <c r="S408" s="55">
        <f t="shared" si="29"/>
        <v>896954.42685567995</v>
      </c>
      <c r="U408"/>
      <c r="V408"/>
    </row>
    <row r="409" spans="1:22" s="53" customFormat="1" x14ac:dyDescent="0.25">
      <c r="A409" s="26" t="s">
        <v>81</v>
      </c>
      <c r="B409" s="60" t="s">
        <v>13</v>
      </c>
      <c r="C409" s="60" t="s">
        <v>95</v>
      </c>
      <c r="D409" s="60" t="s">
        <v>199</v>
      </c>
      <c r="E409" s="60">
        <v>2</v>
      </c>
      <c r="F409" s="60" t="s">
        <v>1</v>
      </c>
      <c r="G409" s="72" t="s">
        <v>12</v>
      </c>
      <c r="H409" s="73">
        <v>2969012.2017333335</v>
      </c>
      <c r="I409" s="74">
        <v>1</v>
      </c>
      <c r="J409" s="29">
        <v>1500</v>
      </c>
      <c r="K409" s="29" t="s">
        <v>123</v>
      </c>
      <c r="L409" s="29">
        <v>15</v>
      </c>
      <c r="M409" s="29"/>
      <c r="N409" s="29"/>
      <c r="O409" s="29"/>
      <c r="P409" s="73">
        <f t="shared" si="30"/>
        <v>2969012.2017333335</v>
      </c>
      <c r="Q409" s="75" t="s">
        <v>52</v>
      </c>
      <c r="R409"/>
      <c r="S409" s="55">
        <f t="shared" si="29"/>
        <v>1054593.1340556801</v>
      </c>
      <c r="U409"/>
      <c r="V409"/>
    </row>
    <row r="410" spans="1:22" s="53" customFormat="1" x14ac:dyDescent="0.25">
      <c r="A410" s="26" t="s">
        <v>81</v>
      </c>
      <c r="B410" s="60" t="s">
        <v>13</v>
      </c>
      <c r="C410" s="60" t="s">
        <v>95</v>
      </c>
      <c r="D410" s="60" t="s">
        <v>200</v>
      </c>
      <c r="E410" s="60">
        <v>2</v>
      </c>
      <c r="F410" s="60" t="s">
        <v>1</v>
      </c>
      <c r="G410" s="72" t="s">
        <v>12</v>
      </c>
      <c r="H410" s="73">
        <v>2969012.2017333335</v>
      </c>
      <c r="I410" s="74">
        <v>1</v>
      </c>
      <c r="J410" s="29">
        <v>2500</v>
      </c>
      <c r="K410" s="29" t="s">
        <v>123</v>
      </c>
      <c r="L410" s="29">
        <v>15</v>
      </c>
      <c r="M410" s="29"/>
      <c r="N410" s="29"/>
      <c r="O410" s="29"/>
      <c r="P410" s="73">
        <f t="shared" si="30"/>
        <v>2969012.2017333335</v>
      </c>
      <c r="Q410" s="75" t="s">
        <v>52</v>
      </c>
      <c r="R410"/>
      <c r="S410" s="55">
        <f t="shared" si="29"/>
        <v>1054593.1340556801</v>
      </c>
      <c r="U410"/>
      <c r="V410"/>
    </row>
    <row r="411" spans="1:22" s="53" customFormat="1" x14ac:dyDescent="0.25">
      <c r="A411" s="26" t="s">
        <v>81</v>
      </c>
      <c r="B411" s="60" t="s">
        <v>13</v>
      </c>
      <c r="C411" s="60" t="s">
        <v>95</v>
      </c>
      <c r="D411" s="60" t="s">
        <v>193</v>
      </c>
      <c r="E411" s="60">
        <v>3</v>
      </c>
      <c r="F411" s="60" t="s">
        <v>1</v>
      </c>
      <c r="G411" s="72" t="s">
        <v>12</v>
      </c>
      <c r="H411" s="73">
        <v>1940242.3960279999</v>
      </c>
      <c r="I411" s="74">
        <v>1</v>
      </c>
      <c r="J411" s="29">
        <v>500</v>
      </c>
      <c r="K411" s="29" t="s">
        <v>123</v>
      </c>
      <c r="L411" s="29">
        <v>25</v>
      </c>
      <c r="M411" s="29"/>
      <c r="N411" s="29"/>
      <c r="O411" s="29"/>
      <c r="P411" s="73">
        <f t="shared" si="30"/>
        <v>1940242.3960279999</v>
      </c>
      <c r="Q411" s="75" t="s">
        <v>52</v>
      </c>
      <c r="R411"/>
      <c r="S411" s="55">
        <f t="shared" si="29"/>
        <v>689174.09906914551</v>
      </c>
      <c r="U411"/>
      <c r="V411"/>
    </row>
    <row r="412" spans="1:22" s="53" customFormat="1" x14ac:dyDescent="0.25">
      <c r="A412" s="26" t="s">
        <v>81</v>
      </c>
      <c r="B412" s="60" t="s">
        <v>13</v>
      </c>
      <c r="C412" s="60" t="s">
        <v>95</v>
      </c>
      <c r="D412" s="60" t="s">
        <v>194</v>
      </c>
      <c r="E412" s="60">
        <v>3</v>
      </c>
      <c r="F412" s="60" t="s">
        <v>1</v>
      </c>
      <c r="G412" s="72" t="s">
        <v>12</v>
      </c>
      <c r="H412" s="73">
        <v>2590554.3960279999</v>
      </c>
      <c r="I412" s="74">
        <v>1</v>
      </c>
      <c r="J412" s="29">
        <v>1000</v>
      </c>
      <c r="K412" s="29" t="s">
        <v>123</v>
      </c>
      <c r="L412" s="29">
        <v>25</v>
      </c>
      <c r="M412" s="29"/>
      <c r="N412" s="29"/>
      <c r="O412" s="29"/>
      <c r="P412" s="73">
        <f t="shared" si="30"/>
        <v>2590554.3960279999</v>
      </c>
      <c r="Q412" s="75" t="s">
        <v>52</v>
      </c>
      <c r="R412"/>
      <c r="S412" s="55">
        <f t="shared" si="29"/>
        <v>920164.92146914569</v>
      </c>
      <c r="U412"/>
      <c r="V412"/>
    </row>
    <row r="413" spans="1:22" s="53" customFormat="1" x14ac:dyDescent="0.25">
      <c r="A413" s="26" t="s">
        <v>81</v>
      </c>
      <c r="B413" s="60" t="s">
        <v>13</v>
      </c>
      <c r="C413" s="60" t="s">
        <v>95</v>
      </c>
      <c r="D413" s="60" t="s">
        <v>195</v>
      </c>
      <c r="E413" s="60">
        <v>3</v>
      </c>
      <c r="F413" s="60" t="s">
        <v>1</v>
      </c>
      <c r="G413" s="72" t="s">
        <v>12</v>
      </c>
      <c r="H413" s="73">
        <v>3034357.0626946664</v>
      </c>
      <c r="I413" s="74">
        <v>1</v>
      </c>
      <c r="J413" s="29">
        <v>1500</v>
      </c>
      <c r="K413" s="29" t="s">
        <v>123</v>
      </c>
      <c r="L413" s="29">
        <v>25</v>
      </c>
      <c r="M413" s="29"/>
      <c r="N413" s="29"/>
      <c r="O413" s="29"/>
      <c r="P413" s="73">
        <f t="shared" si="30"/>
        <v>3034357.0626946664</v>
      </c>
      <c r="Q413" s="75" t="s">
        <v>52</v>
      </c>
      <c r="R413"/>
      <c r="S413" s="55">
        <f t="shared" si="29"/>
        <v>1077803.6286691453</v>
      </c>
      <c r="U413"/>
      <c r="V413"/>
    </row>
    <row r="414" spans="1:22" s="53" customFormat="1" x14ac:dyDescent="0.25">
      <c r="A414" s="26" t="s">
        <v>81</v>
      </c>
      <c r="B414" s="60" t="s">
        <v>13</v>
      </c>
      <c r="C414" s="60" t="s">
        <v>95</v>
      </c>
      <c r="D414" s="60" t="s">
        <v>196</v>
      </c>
      <c r="E414" s="60">
        <v>3</v>
      </c>
      <c r="F414" s="60" t="s">
        <v>1</v>
      </c>
      <c r="G414" s="72" t="s">
        <v>12</v>
      </c>
      <c r="H414" s="73">
        <v>3034357.0626946664</v>
      </c>
      <c r="I414" s="74">
        <v>1</v>
      </c>
      <c r="J414" s="29">
        <v>2500</v>
      </c>
      <c r="K414" s="29" t="s">
        <v>123</v>
      </c>
      <c r="L414" s="29">
        <v>25</v>
      </c>
      <c r="M414" s="29"/>
      <c r="N414" s="29"/>
      <c r="O414" s="29"/>
      <c r="P414" s="73">
        <f t="shared" si="30"/>
        <v>3034357.0626946664</v>
      </c>
      <c r="Q414" s="75" t="s">
        <v>52</v>
      </c>
      <c r="R414"/>
      <c r="S414" s="55">
        <f t="shared" si="29"/>
        <v>1077803.6286691453</v>
      </c>
      <c r="U414"/>
      <c r="V414"/>
    </row>
    <row r="415" spans="1:22" s="53" customFormat="1" x14ac:dyDescent="0.25">
      <c r="A415" s="26" t="s">
        <v>81</v>
      </c>
      <c r="B415" s="60" t="s">
        <v>13</v>
      </c>
      <c r="C415" s="60" t="s">
        <v>95</v>
      </c>
      <c r="D415" s="60" t="s">
        <v>197</v>
      </c>
      <c r="E415" s="60">
        <v>3</v>
      </c>
      <c r="F415" s="60" t="s">
        <v>1</v>
      </c>
      <c r="G415" s="72" t="s">
        <v>12</v>
      </c>
      <c r="H415" s="73">
        <v>1874897.5350666668</v>
      </c>
      <c r="I415" s="74">
        <v>1</v>
      </c>
      <c r="J415" s="29">
        <v>500</v>
      </c>
      <c r="K415" s="29" t="s">
        <v>123</v>
      </c>
      <c r="L415" s="29">
        <v>15</v>
      </c>
      <c r="M415" s="29"/>
      <c r="N415" s="29"/>
      <c r="O415" s="29"/>
      <c r="P415" s="73">
        <f t="shared" ref="P415:P418" si="31">+I415*H415</f>
        <v>1874897.5350666668</v>
      </c>
      <c r="Q415" s="75" t="s">
        <v>52</v>
      </c>
      <c r="R415"/>
      <c r="S415" s="55">
        <f t="shared" si="29"/>
        <v>665963.60445568</v>
      </c>
      <c r="U415"/>
      <c r="V415"/>
    </row>
    <row r="416" spans="1:22" s="53" customFormat="1" x14ac:dyDescent="0.25">
      <c r="A416" s="26" t="s">
        <v>81</v>
      </c>
      <c r="B416" s="60" t="s">
        <v>13</v>
      </c>
      <c r="C416" s="60" t="s">
        <v>95</v>
      </c>
      <c r="D416" s="60" t="s">
        <v>198</v>
      </c>
      <c r="E416" s="60">
        <v>3</v>
      </c>
      <c r="F416" s="60" t="s">
        <v>1</v>
      </c>
      <c r="G416" s="72" t="s">
        <v>12</v>
      </c>
      <c r="H416" s="73">
        <v>2525209.5350666665</v>
      </c>
      <c r="I416" s="74">
        <v>1</v>
      </c>
      <c r="J416" s="29">
        <v>1000</v>
      </c>
      <c r="K416" s="29" t="s">
        <v>123</v>
      </c>
      <c r="L416" s="29">
        <v>15</v>
      </c>
      <c r="M416" s="29"/>
      <c r="N416" s="29"/>
      <c r="O416" s="29"/>
      <c r="P416" s="73">
        <f t="shared" si="31"/>
        <v>2525209.5350666665</v>
      </c>
      <c r="Q416" s="75" t="s">
        <v>52</v>
      </c>
      <c r="R416"/>
      <c r="S416" s="55">
        <f t="shared" si="29"/>
        <v>896954.42685567995</v>
      </c>
      <c r="U416"/>
      <c r="V416"/>
    </row>
    <row r="417" spans="1:22" s="53" customFormat="1" x14ac:dyDescent="0.25">
      <c r="A417" s="26" t="s">
        <v>81</v>
      </c>
      <c r="B417" s="60" t="s">
        <v>13</v>
      </c>
      <c r="C417" s="60" t="s">
        <v>95</v>
      </c>
      <c r="D417" s="60" t="s">
        <v>199</v>
      </c>
      <c r="E417" s="60">
        <v>3</v>
      </c>
      <c r="F417" s="60" t="s">
        <v>1</v>
      </c>
      <c r="G417" s="72" t="s">
        <v>12</v>
      </c>
      <c r="H417" s="73">
        <v>2969012.2017333335</v>
      </c>
      <c r="I417" s="74">
        <v>1</v>
      </c>
      <c r="J417" s="29">
        <v>1500</v>
      </c>
      <c r="K417" s="29" t="s">
        <v>123</v>
      </c>
      <c r="L417" s="29">
        <v>15</v>
      </c>
      <c r="M417" s="29"/>
      <c r="N417" s="29"/>
      <c r="O417" s="29"/>
      <c r="P417" s="73">
        <f t="shared" si="31"/>
        <v>2969012.2017333335</v>
      </c>
      <c r="Q417" s="75" t="s">
        <v>52</v>
      </c>
      <c r="R417"/>
      <c r="S417" s="55">
        <f t="shared" si="29"/>
        <v>1054593.1340556801</v>
      </c>
      <c r="U417"/>
      <c r="V417"/>
    </row>
    <row r="418" spans="1:22" s="53" customFormat="1" x14ac:dyDescent="0.25">
      <c r="A418" s="26" t="s">
        <v>81</v>
      </c>
      <c r="B418" s="60" t="s">
        <v>13</v>
      </c>
      <c r="C418" s="60" t="s">
        <v>95</v>
      </c>
      <c r="D418" s="60" t="s">
        <v>200</v>
      </c>
      <c r="E418" s="60">
        <v>3</v>
      </c>
      <c r="F418" s="60" t="s">
        <v>1</v>
      </c>
      <c r="G418" s="72" t="s">
        <v>12</v>
      </c>
      <c r="H418" s="73">
        <v>2969012.2017333335</v>
      </c>
      <c r="I418" s="74">
        <v>1</v>
      </c>
      <c r="J418" s="29">
        <v>2500</v>
      </c>
      <c r="K418" s="29" t="s">
        <v>123</v>
      </c>
      <c r="L418" s="29">
        <v>15</v>
      </c>
      <c r="M418" s="29"/>
      <c r="N418" s="29"/>
      <c r="O418" s="29"/>
      <c r="P418" s="73">
        <f t="shared" si="31"/>
        <v>2969012.2017333335</v>
      </c>
      <c r="Q418" s="75" t="s">
        <v>52</v>
      </c>
      <c r="R418"/>
      <c r="S418" s="55">
        <f t="shared" si="29"/>
        <v>1054593.1340556801</v>
      </c>
      <c r="U418"/>
      <c r="V418"/>
    </row>
    <row r="419" spans="1:22" s="53" customFormat="1" x14ac:dyDescent="0.25">
      <c r="A419" s="26" t="s">
        <v>81</v>
      </c>
      <c r="B419" s="60" t="s">
        <v>13</v>
      </c>
      <c r="C419" s="60" t="s">
        <v>96</v>
      </c>
      <c r="D419" s="60" t="s">
        <v>185</v>
      </c>
      <c r="E419" s="60">
        <v>1</v>
      </c>
      <c r="F419" s="60" t="s">
        <v>1</v>
      </c>
      <c r="G419" s="72" t="s">
        <v>12</v>
      </c>
      <c r="H419" s="73">
        <v>2218858.4419999998</v>
      </c>
      <c r="I419" s="74">
        <v>1</v>
      </c>
      <c r="J419" s="29">
        <v>500</v>
      </c>
      <c r="K419" s="29" t="s">
        <v>123</v>
      </c>
      <c r="L419" s="29">
        <v>25</v>
      </c>
      <c r="M419" s="29"/>
      <c r="N419" s="29"/>
      <c r="O419" s="29"/>
      <c r="P419" s="73">
        <f t="shared" si="30"/>
        <v>2218858.4419999998</v>
      </c>
      <c r="Q419" s="75" t="s">
        <v>52</v>
      </c>
      <c r="R419"/>
      <c r="S419" s="55">
        <f t="shared" si="29"/>
        <v>788138.51859839982</v>
      </c>
      <c r="U419"/>
      <c r="V419"/>
    </row>
    <row r="420" spans="1:22" s="53" customFormat="1" x14ac:dyDescent="0.25">
      <c r="A420" s="26" t="s">
        <v>81</v>
      </c>
      <c r="B420" s="60" t="s">
        <v>13</v>
      </c>
      <c r="C420" s="60" t="s">
        <v>96</v>
      </c>
      <c r="D420" s="60" t="s">
        <v>186</v>
      </c>
      <c r="E420" s="60">
        <v>1</v>
      </c>
      <c r="F420" s="60" t="s">
        <v>1</v>
      </c>
      <c r="G420" s="72" t="s">
        <v>12</v>
      </c>
      <c r="H420" s="73">
        <v>2768858.4419999998</v>
      </c>
      <c r="I420" s="74">
        <v>1</v>
      </c>
      <c r="J420" s="29">
        <v>1000</v>
      </c>
      <c r="K420" s="29" t="s">
        <v>123</v>
      </c>
      <c r="L420" s="29">
        <v>25</v>
      </c>
      <c r="M420" s="29"/>
      <c r="N420" s="29"/>
      <c r="O420" s="29"/>
      <c r="P420" s="73">
        <f t="shared" si="30"/>
        <v>2768858.4419999998</v>
      </c>
      <c r="Q420" s="75" t="s">
        <v>52</v>
      </c>
      <c r="R420"/>
      <c r="S420" s="55">
        <f t="shared" si="29"/>
        <v>983498.51859839982</v>
      </c>
      <c r="U420"/>
      <c r="V420"/>
    </row>
    <row r="421" spans="1:22" s="53" customFormat="1" x14ac:dyDescent="0.25">
      <c r="A421" s="26" t="s">
        <v>81</v>
      </c>
      <c r="B421" s="60" t="s">
        <v>13</v>
      </c>
      <c r="C421" s="60" t="s">
        <v>96</v>
      </c>
      <c r="D421" s="60" t="s">
        <v>187</v>
      </c>
      <c r="E421" s="60">
        <v>1</v>
      </c>
      <c r="F421" s="60" t="s">
        <v>1</v>
      </c>
      <c r="G421" s="72" t="s">
        <v>12</v>
      </c>
      <c r="H421" s="73">
        <v>3268858.4419999998</v>
      </c>
      <c r="I421" s="74">
        <v>1</v>
      </c>
      <c r="J421" s="29">
        <v>1500</v>
      </c>
      <c r="K421" s="29" t="s">
        <v>123</v>
      </c>
      <c r="L421" s="29">
        <v>25</v>
      </c>
      <c r="M421" s="29"/>
      <c r="N421" s="29"/>
      <c r="O421" s="29"/>
      <c r="P421" s="73">
        <f t="shared" si="30"/>
        <v>3268858.4419999998</v>
      </c>
      <c r="Q421" s="75" t="s">
        <v>52</v>
      </c>
      <c r="R421"/>
      <c r="S421" s="55">
        <f t="shared" si="29"/>
        <v>1161098.5185983998</v>
      </c>
      <c r="U421"/>
      <c r="V421"/>
    </row>
    <row r="422" spans="1:22" s="53" customFormat="1" x14ac:dyDescent="0.25">
      <c r="A422" s="26" t="s">
        <v>81</v>
      </c>
      <c r="B422" s="60" t="s">
        <v>13</v>
      </c>
      <c r="C422" s="60" t="s">
        <v>96</v>
      </c>
      <c r="D422" s="60" t="s">
        <v>188</v>
      </c>
      <c r="E422" s="60">
        <v>1</v>
      </c>
      <c r="F422" s="60" t="s">
        <v>1</v>
      </c>
      <c r="G422" s="72" t="s">
        <v>12</v>
      </c>
      <c r="H422" s="73">
        <v>5268858.4419999998</v>
      </c>
      <c r="I422" s="74">
        <v>1</v>
      </c>
      <c r="J422" s="29">
        <v>2500</v>
      </c>
      <c r="K422" s="29" t="s">
        <v>123</v>
      </c>
      <c r="L422" s="29">
        <v>25</v>
      </c>
      <c r="M422" s="29"/>
      <c r="N422" s="29"/>
      <c r="O422" s="29"/>
      <c r="P422" s="73">
        <f t="shared" si="30"/>
        <v>5268858.4419999998</v>
      </c>
      <c r="Q422" s="75" t="s">
        <v>52</v>
      </c>
      <c r="R422"/>
      <c r="S422" s="55">
        <f t="shared" si="29"/>
        <v>1871498.5185983996</v>
      </c>
      <c r="U422"/>
      <c r="V422"/>
    </row>
    <row r="423" spans="1:22" s="53" customFormat="1" x14ac:dyDescent="0.25">
      <c r="A423" s="26" t="s">
        <v>81</v>
      </c>
      <c r="B423" s="60" t="s">
        <v>13</v>
      </c>
      <c r="C423" s="60" t="s">
        <v>96</v>
      </c>
      <c r="D423" s="60" t="s">
        <v>189</v>
      </c>
      <c r="E423" s="60">
        <v>1</v>
      </c>
      <c r="F423" s="60" t="s">
        <v>1</v>
      </c>
      <c r="G423" s="72" t="s">
        <v>12</v>
      </c>
      <c r="H423" s="73">
        <v>2059626.4961999999</v>
      </c>
      <c r="I423" s="74">
        <v>1</v>
      </c>
      <c r="J423" s="29">
        <v>500</v>
      </c>
      <c r="K423" s="29" t="s">
        <v>123</v>
      </c>
      <c r="L423" s="29">
        <v>15</v>
      </c>
      <c r="M423" s="29"/>
      <c r="N423" s="29"/>
      <c r="O423" s="29"/>
      <c r="P423" s="73">
        <f t="shared" si="30"/>
        <v>2059626.4961999999</v>
      </c>
      <c r="Q423" s="75" t="s">
        <v>52</v>
      </c>
      <c r="R423"/>
      <c r="S423" s="55">
        <f t="shared" si="29"/>
        <v>731579.33145023999</v>
      </c>
      <c r="U423"/>
      <c r="V423"/>
    </row>
    <row r="424" spans="1:22" s="53" customFormat="1" x14ac:dyDescent="0.25">
      <c r="A424" s="26" t="s">
        <v>81</v>
      </c>
      <c r="B424" s="60" t="s">
        <v>13</v>
      </c>
      <c r="C424" s="60" t="s">
        <v>96</v>
      </c>
      <c r="D424" s="60" t="s">
        <v>190</v>
      </c>
      <c r="E424" s="60">
        <v>1</v>
      </c>
      <c r="F424" s="60" t="s">
        <v>1</v>
      </c>
      <c r="G424" s="72" t="s">
        <v>12</v>
      </c>
      <c r="H424" s="73">
        <v>2609626.4961999999</v>
      </c>
      <c r="I424" s="74">
        <v>1</v>
      </c>
      <c r="J424" s="29">
        <v>1000</v>
      </c>
      <c r="K424" s="29" t="s">
        <v>123</v>
      </c>
      <c r="L424" s="29">
        <v>15</v>
      </c>
      <c r="M424" s="29"/>
      <c r="N424" s="29"/>
      <c r="O424" s="29"/>
      <c r="P424" s="73">
        <f t="shared" si="30"/>
        <v>2609626.4961999999</v>
      </c>
      <c r="Q424" s="75" t="s">
        <v>52</v>
      </c>
      <c r="R424"/>
      <c r="S424" s="55">
        <f t="shared" si="29"/>
        <v>926939.33145023999</v>
      </c>
      <c r="U424"/>
      <c r="V424"/>
    </row>
    <row r="425" spans="1:22" s="53" customFormat="1" x14ac:dyDescent="0.25">
      <c r="A425" s="26" t="s">
        <v>81</v>
      </c>
      <c r="B425" s="60" t="s">
        <v>13</v>
      </c>
      <c r="C425" s="60" t="s">
        <v>96</v>
      </c>
      <c r="D425" s="60" t="s">
        <v>191</v>
      </c>
      <c r="E425" s="60">
        <v>1</v>
      </c>
      <c r="F425" s="60" t="s">
        <v>1</v>
      </c>
      <c r="G425" s="72" t="s">
        <v>12</v>
      </c>
      <c r="H425" s="73">
        <v>3109626.4961999999</v>
      </c>
      <c r="I425" s="74">
        <v>1</v>
      </c>
      <c r="J425" s="29">
        <v>1500</v>
      </c>
      <c r="K425" s="29" t="s">
        <v>123</v>
      </c>
      <c r="L425" s="29">
        <v>15</v>
      </c>
      <c r="M425" s="29"/>
      <c r="N425" s="29"/>
      <c r="O425" s="29"/>
      <c r="P425" s="73">
        <f t="shared" si="30"/>
        <v>3109626.4961999999</v>
      </c>
      <c r="Q425" s="75" t="s">
        <v>52</v>
      </c>
      <c r="R425"/>
      <c r="S425" s="55">
        <f t="shared" si="29"/>
        <v>1104539.33145024</v>
      </c>
      <c r="U425"/>
      <c r="V425"/>
    </row>
    <row r="426" spans="1:22" s="53" customFormat="1" x14ac:dyDescent="0.25">
      <c r="A426" s="26" t="s">
        <v>81</v>
      </c>
      <c r="B426" s="60" t="s">
        <v>13</v>
      </c>
      <c r="C426" s="60" t="s">
        <v>96</v>
      </c>
      <c r="D426" s="60" t="s">
        <v>192</v>
      </c>
      <c r="E426" s="60">
        <v>1</v>
      </c>
      <c r="F426" s="60" t="s">
        <v>1</v>
      </c>
      <c r="G426" s="72" t="s">
        <v>12</v>
      </c>
      <c r="H426" s="73">
        <v>5109626.4961999999</v>
      </c>
      <c r="I426" s="74">
        <v>1</v>
      </c>
      <c r="J426" s="29">
        <v>2500</v>
      </c>
      <c r="K426" s="29" t="s">
        <v>123</v>
      </c>
      <c r="L426" s="29">
        <v>15</v>
      </c>
      <c r="M426" s="29"/>
      <c r="N426" s="29"/>
      <c r="O426" s="29"/>
      <c r="P426" s="73">
        <f t="shared" si="30"/>
        <v>5109626.4961999999</v>
      </c>
      <c r="Q426" s="75" t="s">
        <v>52</v>
      </c>
      <c r="R426"/>
      <c r="S426" s="55">
        <f t="shared" si="29"/>
        <v>1814939.33145024</v>
      </c>
      <c r="U426"/>
      <c r="V426"/>
    </row>
    <row r="427" spans="1:22" s="53" customFormat="1" x14ac:dyDescent="0.25">
      <c r="A427" s="26" t="s">
        <v>81</v>
      </c>
      <c r="B427" s="60" t="s">
        <v>13</v>
      </c>
      <c r="C427" s="60" t="s">
        <v>96</v>
      </c>
      <c r="D427" s="60" t="s">
        <v>193</v>
      </c>
      <c r="E427" s="60">
        <v>2</v>
      </c>
      <c r="F427" s="60" t="s">
        <v>1</v>
      </c>
      <c r="G427" s="72" t="s">
        <v>12</v>
      </c>
      <c r="H427" s="73">
        <v>2218858.4419999998</v>
      </c>
      <c r="I427" s="74">
        <v>1</v>
      </c>
      <c r="J427" s="29">
        <v>500</v>
      </c>
      <c r="K427" s="29" t="s">
        <v>123</v>
      </c>
      <c r="L427" s="29">
        <v>25</v>
      </c>
      <c r="M427" s="29"/>
      <c r="N427" s="29"/>
      <c r="O427" s="29"/>
      <c r="P427" s="73">
        <f t="shared" si="30"/>
        <v>2218858.4419999998</v>
      </c>
      <c r="Q427" s="75" t="s">
        <v>52</v>
      </c>
      <c r="R427"/>
      <c r="S427" s="55">
        <f t="shared" si="29"/>
        <v>788138.51859839982</v>
      </c>
      <c r="U427"/>
      <c r="V427"/>
    </row>
    <row r="428" spans="1:22" s="53" customFormat="1" x14ac:dyDescent="0.25">
      <c r="A428" s="26" t="s">
        <v>81</v>
      </c>
      <c r="B428" s="60" t="s">
        <v>13</v>
      </c>
      <c r="C428" s="60" t="s">
        <v>96</v>
      </c>
      <c r="D428" s="60" t="s">
        <v>194</v>
      </c>
      <c r="E428" s="60">
        <v>2</v>
      </c>
      <c r="F428" s="60" t="s">
        <v>1</v>
      </c>
      <c r="G428" s="72" t="s">
        <v>12</v>
      </c>
      <c r="H428" s="73">
        <v>2768858.4419999998</v>
      </c>
      <c r="I428" s="74">
        <v>1</v>
      </c>
      <c r="J428" s="29">
        <v>1000</v>
      </c>
      <c r="K428" s="29" t="s">
        <v>123</v>
      </c>
      <c r="L428" s="29">
        <v>25</v>
      </c>
      <c r="M428" s="29"/>
      <c r="N428" s="29"/>
      <c r="O428" s="29"/>
      <c r="P428" s="73">
        <f t="shared" si="30"/>
        <v>2768858.4419999998</v>
      </c>
      <c r="Q428" s="75" t="s">
        <v>52</v>
      </c>
      <c r="R428"/>
      <c r="S428" s="55">
        <f t="shared" si="29"/>
        <v>983498.51859839982</v>
      </c>
      <c r="U428"/>
      <c r="V428"/>
    </row>
    <row r="429" spans="1:22" s="53" customFormat="1" x14ac:dyDescent="0.25">
      <c r="A429" s="26" t="s">
        <v>81</v>
      </c>
      <c r="B429" s="60" t="s">
        <v>13</v>
      </c>
      <c r="C429" s="60" t="s">
        <v>96</v>
      </c>
      <c r="D429" s="60" t="s">
        <v>195</v>
      </c>
      <c r="E429" s="60">
        <v>2</v>
      </c>
      <c r="F429" s="60" t="s">
        <v>1</v>
      </c>
      <c r="G429" s="72" t="s">
        <v>12</v>
      </c>
      <c r="H429" s="73">
        <v>3268858.4419999998</v>
      </c>
      <c r="I429" s="74">
        <v>1</v>
      </c>
      <c r="J429" s="29">
        <v>1500</v>
      </c>
      <c r="K429" s="29" t="s">
        <v>123</v>
      </c>
      <c r="L429" s="29">
        <v>25</v>
      </c>
      <c r="M429" s="29"/>
      <c r="N429" s="29"/>
      <c r="O429" s="29"/>
      <c r="P429" s="73">
        <f t="shared" si="30"/>
        <v>3268858.4419999998</v>
      </c>
      <c r="Q429" s="75" t="s">
        <v>52</v>
      </c>
      <c r="R429"/>
      <c r="S429" s="55">
        <f t="shared" si="29"/>
        <v>1161098.5185983998</v>
      </c>
      <c r="U429"/>
      <c r="V429"/>
    </row>
    <row r="430" spans="1:22" s="53" customFormat="1" x14ac:dyDescent="0.25">
      <c r="A430" s="26" t="s">
        <v>81</v>
      </c>
      <c r="B430" s="60" t="s">
        <v>13</v>
      </c>
      <c r="C430" s="60" t="s">
        <v>96</v>
      </c>
      <c r="D430" s="60" t="s">
        <v>196</v>
      </c>
      <c r="E430" s="60">
        <v>2</v>
      </c>
      <c r="F430" s="60" t="s">
        <v>1</v>
      </c>
      <c r="G430" s="72" t="s">
        <v>12</v>
      </c>
      <c r="H430" s="73">
        <v>5268858.4419999998</v>
      </c>
      <c r="I430" s="74">
        <v>1</v>
      </c>
      <c r="J430" s="29">
        <v>2500</v>
      </c>
      <c r="K430" s="29" t="s">
        <v>123</v>
      </c>
      <c r="L430" s="29">
        <v>25</v>
      </c>
      <c r="M430" s="29"/>
      <c r="N430" s="29"/>
      <c r="O430" s="29"/>
      <c r="P430" s="73">
        <f t="shared" si="30"/>
        <v>5268858.4419999998</v>
      </c>
      <c r="Q430" s="75" t="s">
        <v>52</v>
      </c>
      <c r="R430"/>
      <c r="S430" s="55">
        <f t="shared" si="29"/>
        <v>1871498.5185983996</v>
      </c>
      <c r="U430"/>
      <c r="V430"/>
    </row>
    <row r="431" spans="1:22" s="53" customFormat="1" x14ac:dyDescent="0.25">
      <c r="A431" s="26" t="s">
        <v>81</v>
      </c>
      <c r="B431" s="60" t="s">
        <v>13</v>
      </c>
      <c r="C431" s="60" t="s">
        <v>96</v>
      </c>
      <c r="D431" s="60" t="s">
        <v>197</v>
      </c>
      <c r="E431" s="60">
        <v>2</v>
      </c>
      <c r="F431" s="60" t="s">
        <v>1</v>
      </c>
      <c r="G431" s="72" t="s">
        <v>12</v>
      </c>
      <c r="H431" s="73">
        <v>2059626.4961999999</v>
      </c>
      <c r="I431" s="74">
        <v>1</v>
      </c>
      <c r="J431" s="29">
        <v>500</v>
      </c>
      <c r="K431" s="29" t="s">
        <v>123</v>
      </c>
      <c r="L431" s="29">
        <v>15</v>
      </c>
      <c r="M431" s="29"/>
      <c r="N431" s="29"/>
      <c r="O431" s="29"/>
      <c r="P431" s="73">
        <f t="shared" si="30"/>
        <v>2059626.4961999999</v>
      </c>
      <c r="Q431" s="75" t="s">
        <v>52</v>
      </c>
      <c r="R431"/>
      <c r="S431" s="55">
        <f t="shared" si="29"/>
        <v>731579.33145023999</v>
      </c>
      <c r="U431"/>
      <c r="V431"/>
    </row>
    <row r="432" spans="1:22" s="53" customFormat="1" x14ac:dyDescent="0.25">
      <c r="A432" s="26" t="s">
        <v>81</v>
      </c>
      <c r="B432" s="60" t="s">
        <v>13</v>
      </c>
      <c r="C432" s="60" t="s">
        <v>96</v>
      </c>
      <c r="D432" s="60" t="s">
        <v>198</v>
      </c>
      <c r="E432" s="60">
        <v>2</v>
      </c>
      <c r="F432" s="60" t="s">
        <v>1</v>
      </c>
      <c r="G432" s="72" t="s">
        <v>12</v>
      </c>
      <c r="H432" s="73">
        <v>2609626.4961999999</v>
      </c>
      <c r="I432" s="74">
        <v>1</v>
      </c>
      <c r="J432" s="29">
        <v>1000</v>
      </c>
      <c r="K432" s="29" t="s">
        <v>123</v>
      </c>
      <c r="L432" s="29">
        <v>15</v>
      </c>
      <c r="M432" s="29"/>
      <c r="N432" s="29"/>
      <c r="O432" s="29"/>
      <c r="P432" s="73">
        <f t="shared" si="30"/>
        <v>2609626.4961999999</v>
      </c>
      <c r="Q432" s="75" t="s">
        <v>52</v>
      </c>
      <c r="R432"/>
      <c r="S432" s="55">
        <f t="shared" si="29"/>
        <v>926939.33145023999</v>
      </c>
      <c r="U432"/>
      <c r="V432"/>
    </row>
    <row r="433" spans="1:22" s="53" customFormat="1" x14ac:dyDescent="0.25">
      <c r="A433" s="26" t="s">
        <v>81</v>
      </c>
      <c r="B433" s="60" t="s">
        <v>13</v>
      </c>
      <c r="C433" s="60" t="s">
        <v>96</v>
      </c>
      <c r="D433" s="60" t="s">
        <v>199</v>
      </c>
      <c r="E433" s="60">
        <v>2</v>
      </c>
      <c r="F433" s="60" t="s">
        <v>1</v>
      </c>
      <c r="G433" s="72" t="s">
        <v>12</v>
      </c>
      <c r="H433" s="73">
        <v>3109626.4961999999</v>
      </c>
      <c r="I433" s="74">
        <v>1</v>
      </c>
      <c r="J433" s="29">
        <v>1500</v>
      </c>
      <c r="K433" s="29" t="s">
        <v>123</v>
      </c>
      <c r="L433" s="29">
        <v>15</v>
      </c>
      <c r="M433" s="29"/>
      <c r="N433" s="29"/>
      <c r="O433" s="29"/>
      <c r="P433" s="73">
        <f t="shared" si="30"/>
        <v>3109626.4961999999</v>
      </c>
      <c r="Q433" s="75" t="s">
        <v>52</v>
      </c>
      <c r="R433"/>
      <c r="S433" s="55">
        <f t="shared" si="29"/>
        <v>1104539.33145024</v>
      </c>
      <c r="U433"/>
      <c r="V433"/>
    </row>
    <row r="434" spans="1:22" s="53" customFormat="1" x14ac:dyDescent="0.25">
      <c r="A434" s="26" t="s">
        <v>81</v>
      </c>
      <c r="B434" s="60" t="s">
        <v>13</v>
      </c>
      <c r="C434" s="60" t="s">
        <v>96</v>
      </c>
      <c r="D434" s="60" t="s">
        <v>200</v>
      </c>
      <c r="E434" s="60">
        <v>2</v>
      </c>
      <c r="F434" s="60" t="s">
        <v>1</v>
      </c>
      <c r="G434" s="72" t="s">
        <v>12</v>
      </c>
      <c r="H434" s="73">
        <v>5109626.4961999999</v>
      </c>
      <c r="I434" s="74">
        <v>1</v>
      </c>
      <c r="J434" s="29">
        <v>2500</v>
      </c>
      <c r="K434" s="29" t="s">
        <v>123</v>
      </c>
      <c r="L434" s="29">
        <v>15</v>
      </c>
      <c r="M434" s="29"/>
      <c r="N434" s="29"/>
      <c r="O434" s="29"/>
      <c r="P434" s="73">
        <f t="shared" si="30"/>
        <v>5109626.4961999999</v>
      </c>
      <c r="Q434" s="75" t="s">
        <v>52</v>
      </c>
      <c r="R434"/>
      <c r="S434" s="55">
        <f t="shared" si="29"/>
        <v>1814939.33145024</v>
      </c>
      <c r="U434"/>
      <c r="V434"/>
    </row>
    <row r="435" spans="1:22" s="53" customFormat="1" x14ac:dyDescent="0.25">
      <c r="A435" s="26" t="s">
        <v>81</v>
      </c>
      <c r="B435" s="60" t="s">
        <v>13</v>
      </c>
      <c r="C435" s="60" t="s">
        <v>96</v>
      </c>
      <c r="D435" s="60" t="s">
        <v>193</v>
      </c>
      <c r="E435" s="60">
        <v>3</v>
      </c>
      <c r="F435" s="60" t="s">
        <v>1</v>
      </c>
      <c r="G435" s="72" t="s">
        <v>12</v>
      </c>
      <c r="H435" s="73">
        <v>2218858.4419999998</v>
      </c>
      <c r="I435" s="74">
        <v>1</v>
      </c>
      <c r="J435" s="29">
        <v>500</v>
      </c>
      <c r="K435" s="29" t="s">
        <v>123</v>
      </c>
      <c r="L435" s="29">
        <v>25</v>
      </c>
      <c r="M435" s="29"/>
      <c r="N435" s="29"/>
      <c r="O435" s="29"/>
      <c r="P435" s="73">
        <f t="shared" ref="P435:P442" si="32">+I435*H435</f>
        <v>2218858.4419999998</v>
      </c>
      <c r="Q435" s="75" t="s">
        <v>52</v>
      </c>
      <c r="R435"/>
      <c r="S435" s="55">
        <f t="shared" si="29"/>
        <v>788138.51859839982</v>
      </c>
      <c r="U435"/>
      <c r="V435"/>
    </row>
    <row r="436" spans="1:22" s="53" customFormat="1" x14ac:dyDescent="0.25">
      <c r="A436" s="26" t="s">
        <v>81</v>
      </c>
      <c r="B436" s="60" t="s">
        <v>13</v>
      </c>
      <c r="C436" s="60" t="s">
        <v>96</v>
      </c>
      <c r="D436" s="60" t="s">
        <v>194</v>
      </c>
      <c r="E436" s="60">
        <v>3</v>
      </c>
      <c r="F436" s="60" t="s">
        <v>1</v>
      </c>
      <c r="G436" s="72" t="s">
        <v>12</v>
      </c>
      <c r="H436" s="73">
        <v>2768858.4419999998</v>
      </c>
      <c r="I436" s="74">
        <v>1</v>
      </c>
      <c r="J436" s="29">
        <v>1000</v>
      </c>
      <c r="K436" s="29" t="s">
        <v>123</v>
      </c>
      <c r="L436" s="29">
        <v>25</v>
      </c>
      <c r="M436" s="29"/>
      <c r="N436" s="29"/>
      <c r="O436" s="29"/>
      <c r="P436" s="73">
        <f t="shared" si="32"/>
        <v>2768858.4419999998</v>
      </c>
      <c r="Q436" s="75" t="s">
        <v>52</v>
      </c>
      <c r="R436"/>
      <c r="S436" s="55">
        <f t="shared" si="29"/>
        <v>983498.51859839982</v>
      </c>
      <c r="U436"/>
      <c r="V436"/>
    </row>
    <row r="437" spans="1:22" s="53" customFormat="1" x14ac:dyDescent="0.25">
      <c r="A437" s="26" t="s">
        <v>81</v>
      </c>
      <c r="B437" s="60" t="s">
        <v>13</v>
      </c>
      <c r="C437" s="60" t="s">
        <v>96</v>
      </c>
      <c r="D437" s="60" t="s">
        <v>195</v>
      </c>
      <c r="E437" s="60">
        <v>3</v>
      </c>
      <c r="F437" s="60" t="s">
        <v>1</v>
      </c>
      <c r="G437" s="72" t="s">
        <v>12</v>
      </c>
      <c r="H437" s="73">
        <v>3268858.4419999998</v>
      </c>
      <c r="I437" s="74">
        <v>1</v>
      </c>
      <c r="J437" s="29">
        <v>1500</v>
      </c>
      <c r="K437" s="29" t="s">
        <v>123</v>
      </c>
      <c r="L437" s="29">
        <v>25</v>
      </c>
      <c r="M437" s="29"/>
      <c r="N437" s="29"/>
      <c r="O437" s="29"/>
      <c r="P437" s="73">
        <f t="shared" si="32"/>
        <v>3268858.4419999998</v>
      </c>
      <c r="Q437" s="75" t="s">
        <v>52</v>
      </c>
      <c r="R437"/>
      <c r="S437" s="55">
        <f t="shared" si="29"/>
        <v>1161098.5185983998</v>
      </c>
      <c r="U437"/>
      <c r="V437"/>
    </row>
    <row r="438" spans="1:22" s="53" customFormat="1" x14ac:dyDescent="0.25">
      <c r="A438" s="26" t="s">
        <v>81</v>
      </c>
      <c r="B438" s="60" t="s">
        <v>13</v>
      </c>
      <c r="C438" s="60" t="s">
        <v>96</v>
      </c>
      <c r="D438" s="60" t="s">
        <v>196</v>
      </c>
      <c r="E438" s="60">
        <v>3</v>
      </c>
      <c r="F438" s="60" t="s">
        <v>1</v>
      </c>
      <c r="G438" s="72" t="s">
        <v>12</v>
      </c>
      <c r="H438" s="73">
        <v>5268858.4419999998</v>
      </c>
      <c r="I438" s="74">
        <v>1</v>
      </c>
      <c r="J438" s="29">
        <v>2500</v>
      </c>
      <c r="K438" s="29" t="s">
        <v>123</v>
      </c>
      <c r="L438" s="29">
        <v>25</v>
      </c>
      <c r="M438" s="29"/>
      <c r="N438" s="29"/>
      <c r="O438" s="29"/>
      <c r="P438" s="73">
        <f t="shared" si="32"/>
        <v>5268858.4419999998</v>
      </c>
      <c r="Q438" s="75" t="s">
        <v>52</v>
      </c>
      <c r="R438"/>
      <c r="S438" s="55">
        <f t="shared" si="29"/>
        <v>1871498.5185983996</v>
      </c>
      <c r="U438"/>
      <c r="V438"/>
    </row>
    <row r="439" spans="1:22" s="53" customFormat="1" x14ac:dyDescent="0.25">
      <c r="A439" s="26" t="s">
        <v>81</v>
      </c>
      <c r="B439" s="60" t="s">
        <v>13</v>
      </c>
      <c r="C439" s="60" t="s">
        <v>96</v>
      </c>
      <c r="D439" s="60" t="s">
        <v>197</v>
      </c>
      <c r="E439" s="60">
        <v>3</v>
      </c>
      <c r="F439" s="60" t="s">
        <v>1</v>
      </c>
      <c r="G439" s="72" t="s">
        <v>12</v>
      </c>
      <c r="H439" s="73">
        <v>2059626.4961999999</v>
      </c>
      <c r="I439" s="74">
        <v>1</v>
      </c>
      <c r="J439" s="29">
        <v>500</v>
      </c>
      <c r="K439" s="29" t="s">
        <v>123</v>
      </c>
      <c r="L439" s="29">
        <v>15</v>
      </c>
      <c r="M439" s="29"/>
      <c r="N439" s="29"/>
      <c r="O439" s="29"/>
      <c r="P439" s="73">
        <f t="shared" si="32"/>
        <v>2059626.4961999999</v>
      </c>
      <c r="Q439" s="75" t="s">
        <v>52</v>
      </c>
      <c r="R439"/>
      <c r="S439" s="55">
        <f t="shared" si="29"/>
        <v>731579.33145023999</v>
      </c>
      <c r="U439"/>
      <c r="V439"/>
    </row>
    <row r="440" spans="1:22" s="53" customFormat="1" x14ac:dyDescent="0.25">
      <c r="A440" s="26" t="s">
        <v>81</v>
      </c>
      <c r="B440" s="60" t="s">
        <v>13</v>
      </c>
      <c r="C440" s="60" t="s">
        <v>96</v>
      </c>
      <c r="D440" s="60" t="s">
        <v>198</v>
      </c>
      <c r="E440" s="60">
        <v>3</v>
      </c>
      <c r="F440" s="60" t="s">
        <v>1</v>
      </c>
      <c r="G440" s="72" t="s">
        <v>12</v>
      </c>
      <c r="H440" s="73">
        <v>2609626.4961999999</v>
      </c>
      <c r="I440" s="74">
        <v>1</v>
      </c>
      <c r="J440" s="29">
        <v>1000</v>
      </c>
      <c r="K440" s="29" t="s">
        <v>123</v>
      </c>
      <c r="L440" s="29">
        <v>15</v>
      </c>
      <c r="M440" s="29"/>
      <c r="N440" s="29"/>
      <c r="O440" s="29"/>
      <c r="P440" s="73">
        <f t="shared" si="32"/>
        <v>2609626.4961999999</v>
      </c>
      <c r="Q440" s="75" t="s">
        <v>52</v>
      </c>
      <c r="R440"/>
      <c r="S440" s="55">
        <f t="shared" si="29"/>
        <v>926939.33145023999</v>
      </c>
      <c r="U440"/>
      <c r="V440"/>
    </row>
    <row r="441" spans="1:22" s="53" customFormat="1" x14ac:dyDescent="0.25">
      <c r="A441" s="26" t="s">
        <v>81</v>
      </c>
      <c r="B441" s="60" t="s">
        <v>13</v>
      </c>
      <c r="C441" s="60" t="s">
        <v>96</v>
      </c>
      <c r="D441" s="60" t="s">
        <v>199</v>
      </c>
      <c r="E441" s="60">
        <v>3</v>
      </c>
      <c r="F441" s="60" t="s">
        <v>1</v>
      </c>
      <c r="G441" s="72" t="s">
        <v>12</v>
      </c>
      <c r="H441" s="73">
        <v>3109626.4961999999</v>
      </c>
      <c r="I441" s="74">
        <v>1</v>
      </c>
      <c r="J441" s="29">
        <v>1500</v>
      </c>
      <c r="K441" s="29" t="s">
        <v>123</v>
      </c>
      <c r="L441" s="29">
        <v>15</v>
      </c>
      <c r="M441" s="29"/>
      <c r="N441" s="29"/>
      <c r="O441" s="29"/>
      <c r="P441" s="73">
        <f t="shared" si="32"/>
        <v>3109626.4961999999</v>
      </c>
      <c r="Q441" s="75" t="s">
        <v>52</v>
      </c>
      <c r="R441"/>
      <c r="S441" s="55">
        <f t="shared" si="29"/>
        <v>1104539.33145024</v>
      </c>
      <c r="U441"/>
      <c r="V441"/>
    </row>
    <row r="442" spans="1:22" s="53" customFormat="1" x14ac:dyDescent="0.25">
      <c r="A442" s="26" t="s">
        <v>81</v>
      </c>
      <c r="B442" s="60" t="s">
        <v>13</v>
      </c>
      <c r="C442" s="60" t="s">
        <v>96</v>
      </c>
      <c r="D442" s="60" t="s">
        <v>200</v>
      </c>
      <c r="E442" s="60">
        <v>3</v>
      </c>
      <c r="F442" s="60" t="s">
        <v>1</v>
      </c>
      <c r="G442" s="72" t="s">
        <v>12</v>
      </c>
      <c r="H442" s="73">
        <v>5109626.4961999999</v>
      </c>
      <c r="I442" s="74">
        <v>1</v>
      </c>
      <c r="J442" s="29">
        <v>2500</v>
      </c>
      <c r="K442" s="29" t="s">
        <v>123</v>
      </c>
      <c r="L442" s="29">
        <v>15</v>
      </c>
      <c r="M442" s="29"/>
      <c r="N442" s="29"/>
      <c r="O442" s="29"/>
      <c r="P442" s="73">
        <f t="shared" si="32"/>
        <v>5109626.4961999999</v>
      </c>
      <c r="Q442" s="75" t="s">
        <v>52</v>
      </c>
      <c r="R442"/>
      <c r="S442" s="55">
        <f t="shared" si="29"/>
        <v>1814939.33145024</v>
      </c>
      <c r="U442"/>
      <c r="V442"/>
    </row>
    <row r="443" spans="1:22" x14ac:dyDescent="0.25">
      <c r="A443" s="26" t="s">
        <v>81</v>
      </c>
      <c r="B443" s="60" t="s">
        <v>13</v>
      </c>
      <c r="C443" s="60" t="s">
        <v>97</v>
      </c>
      <c r="D443" s="60" t="s">
        <v>185</v>
      </c>
      <c r="E443" s="60">
        <v>1</v>
      </c>
      <c r="F443" s="60" t="s">
        <v>1</v>
      </c>
      <c r="G443" s="72" t="s">
        <v>12</v>
      </c>
      <c r="H443" s="73">
        <v>7360575.8313333327</v>
      </c>
      <c r="I443" s="74">
        <v>1</v>
      </c>
      <c r="J443" s="29">
        <v>500</v>
      </c>
      <c r="K443" s="29" t="s">
        <v>124</v>
      </c>
      <c r="L443" s="29">
        <v>25</v>
      </c>
      <c r="M443" s="29"/>
      <c r="N443" s="29"/>
      <c r="O443" s="29"/>
      <c r="P443" s="73">
        <f t="shared" si="30"/>
        <v>7360575.8313333327</v>
      </c>
      <c r="Q443" s="75" t="s">
        <v>52</v>
      </c>
      <c r="S443" s="52">
        <f>+$T$155*H443*12/5*0.85</f>
        <v>11501930.217074718</v>
      </c>
      <c r="T443" s="51">
        <v>0.76600000000000001</v>
      </c>
    </row>
    <row r="444" spans="1:22" x14ac:dyDescent="0.25">
      <c r="A444" s="26" t="s">
        <v>81</v>
      </c>
      <c r="B444" s="60" t="s">
        <v>13</v>
      </c>
      <c r="C444" s="60" t="s">
        <v>97</v>
      </c>
      <c r="D444" s="60" t="s">
        <v>186</v>
      </c>
      <c r="E444" s="60">
        <v>1</v>
      </c>
      <c r="F444" s="60" t="s">
        <v>1</v>
      </c>
      <c r="G444" s="72" t="s">
        <v>12</v>
      </c>
      <c r="H444" s="73">
        <v>15665085.4956</v>
      </c>
      <c r="I444" s="74">
        <v>1</v>
      </c>
      <c r="J444" s="29">
        <v>1000</v>
      </c>
      <c r="K444" s="29" t="s">
        <v>124</v>
      </c>
      <c r="L444" s="29">
        <v>25</v>
      </c>
      <c r="M444" s="29"/>
      <c r="N444" s="29"/>
      <c r="O444" s="29"/>
      <c r="P444" s="73">
        <f t="shared" si="30"/>
        <v>15665085.4956</v>
      </c>
      <c r="Q444" s="75" t="s">
        <v>52</v>
      </c>
      <c r="S444" s="52">
        <f t="shared" ref="S444:S507" si="33">+$T$155*H444*12/5*0.85</f>
        <v>24478889.198844388</v>
      </c>
      <c r="T444" s="33"/>
    </row>
    <row r="445" spans="1:22" x14ac:dyDescent="0.25">
      <c r="A445" s="26" t="s">
        <v>81</v>
      </c>
      <c r="B445" s="60" t="s">
        <v>13</v>
      </c>
      <c r="C445" s="60" t="s">
        <v>97</v>
      </c>
      <c r="D445" s="60" t="s">
        <v>187</v>
      </c>
      <c r="E445" s="60">
        <v>1</v>
      </c>
      <c r="F445" s="60" t="s">
        <v>1</v>
      </c>
      <c r="G445" s="72" t="s">
        <v>12</v>
      </c>
      <c r="H445" s="73">
        <v>24590377.327733334</v>
      </c>
      <c r="I445" s="74">
        <v>1</v>
      </c>
      <c r="J445" s="29">
        <v>1500</v>
      </c>
      <c r="K445" s="29" t="s">
        <v>124</v>
      </c>
      <c r="L445" s="29">
        <v>25</v>
      </c>
      <c r="M445" s="29"/>
      <c r="N445" s="29"/>
      <c r="O445" s="29"/>
      <c r="P445" s="73">
        <f t="shared" si="30"/>
        <v>24590377.327733334</v>
      </c>
      <c r="Q445" s="75" t="s">
        <v>52</v>
      </c>
      <c r="S445" s="52">
        <f t="shared" si="33"/>
        <v>38425907.227409221</v>
      </c>
      <c r="T445" s="33"/>
    </row>
    <row r="446" spans="1:22" x14ac:dyDescent="0.25">
      <c r="A446" s="26" t="s">
        <v>81</v>
      </c>
      <c r="B446" s="60" t="s">
        <v>13</v>
      </c>
      <c r="C446" s="60" t="s">
        <v>97</v>
      </c>
      <c r="D446" s="60" t="s">
        <v>188</v>
      </c>
      <c r="E446" s="60">
        <v>1</v>
      </c>
      <c r="F446" s="60" t="s">
        <v>1</v>
      </c>
      <c r="G446" s="72" t="s">
        <v>12</v>
      </c>
      <c r="H446" s="73">
        <v>36358152.9912</v>
      </c>
      <c r="I446" s="74">
        <v>1</v>
      </c>
      <c r="J446" s="29">
        <v>2500</v>
      </c>
      <c r="K446" s="29" t="s">
        <v>124</v>
      </c>
      <c r="L446" s="29">
        <v>25</v>
      </c>
      <c r="M446" s="29"/>
      <c r="N446" s="29"/>
      <c r="O446" s="29"/>
      <c r="P446" s="73">
        <f t="shared" si="30"/>
        <v>36358152.9912</v>
      </c>
      <c r="Q446" s="75" t="s">
        <v>52</v>
      </c>
      <c r="S446" s="52">
        <f t="shared" si="33"/>
        <v>56814704.190168768</v>
      </c>
      <c r="T446" s="33"/>
    </row>
    <row r="447" spans="1:22" x14ac:dyDescent="0.25">
      <c r="A447" s="26" t="s">
        <v>81</v>
      </c>
      <c r="B447" s="60" t="s">
        <v>13</v>
      </c>
      <c r="C447" s="60" t="s">
        <v>97</v>
      </c>
      <c r="D447" s="60" t="s">
        <v>189</v>
      </c>
      <c r="E447" s="60">
        <v>1</v>
      </c>
      <c r="F447" s="60" t="s">
        <v>1</v>
      </c>
      <c r="G447" s="72" t="s">
        <v>12</v>
      </c>
      <c r="H447" s="73">
        <v>7360575.8313333327</v>
      </c>
      <c r="I447" s="74">
        <v>1</v>
      </c>
      <c r="J447" s="29">
        <v>500</v>
      </c>
      <c r="K447" s="29" t="s">
        <v>124</v>
      </c>
      <c r="L447" s="29">
        <v>15</v>
      </c>
      <c r="M447" s="29"/>
      <c r="N447" s="29"/>
      <c r="O447" s="29"/>
      <c r="P447" s="73">
        <f t="shared" si="30"/>
        <v>7360575.8313333327</v>
      </c>
      <c r="Q447" s="75" t="s">
        <v>52</v>
      </c>
      <c r="S447" s="52">
        <f t="shared" si="33"/>
        <v>11501930.217074718</v>
      </c>
      <c r="T447" s="33"/>
    </row>
    <row r="448" spans="1:22" x14ac:dyDescent="0.25">
      <c r="A448" s="26" t="s">
        <v>81</v>
      </c>
      <c r="B448" s="60" t="s">
        <v>13</v>
      </c>
      <c r="C448" s="60" t="s">
        <v>97</v>
      </c>
      <c r="D448" s="60" t="s">
        <v>190</v>
      </c>
      <c r="E448" s="60">
        <v>1</v>
      </c>
      <c r="F448" s="60" t="s">
        <v>1</v>
      </c>
      <c r="G448" s="72" t="s">
        <v>12</v>
      </c>
      <c r="H448" s="73">
        <v>15665085.4956</v>
      </c>
      <c r="I448" s="74">
        <v>1</v>
      </c>
      <c r="J448" s="29">
        <v>1000</v>
      </c>
      <c r="K448" s="29" t="s">
        <v>124</v>
      </c>
      <c r="L448" s="29">
        <v>15</v>
      </c>
      <c r="M448" s="29"/>
      <c r="N448" s="29"/>
      <c r="O448" s="29"/>
      <c r="P448" s="73">
        <f t="shared" si="30"/>
        <v>15665085.4956</v>
      </c>
      <c r="Q448" s="75" t="s">
        <v>52</v>
      </c>
      <c r="S448" s="52">
        <f t="shared" si="33"/>
        <v>24478889.198844388</v>
      </c>
      <c r="T448" s="33"/>
    </row>
    <row r="449" spans="1:20" x14ac:dyDescent="0.25">
      <c r="A449" s="26" t="s">
        <v>81</v>
      </c>
      <c r="B449" s="60" t="s">
        <v>13</v>
      </c>
      <c r="C449" s="60" t="s">
        <v>97</v>
      </c>
      <c r="D449" s="60" t="s">
        <v>191</v>
      </c>
      <c r="E449" s="60">
        <v>1</v>
      </c>
      <c r="F449" s="60" t="s">
        <v>1</v>
      </c>
      <c r="G449" s="72" t="s">
        <v>12</v>
      </c>
      <c r="H449" s="73">
        <v>24590377.327733334</v>
      </c>
      <c r="I449" s="74">
        <v>1</v>
      </c>
      <c r="J449" s="29">
        <v>1500</v>
      </c>
      <c r="K449" s="29" t="s">
        <v>124</v>
      </c>
      <c r="L449" s="29">
        <v>15</v>
      </c>
      <c r="M449" s="29"/>
      <c r="N449" s="29"/>
      <c r="O449" s="29"/>
      <c r="P449" s="73">
        <f t="shared" si="30"/>
        <v>24590377.327733334</v>
      </c>
      <c r="Q449" s="75" t="s">
        <v>52</v>
      </c>
      <c r="S449" s="52">
        <f t="shared" si="33"/>
        <v>38425907.227409221</v>
      </c>
      <c r="T449" s="33"/>
    </row>
    <row r="450" spans="1:20" x14ac:dyDescent="0.25">
      <c r="A450" s="26" t="s">
        <v>81</v>
      </c>
      <c r="B450" s="60" t="s">
        <v>13</v>
      </c>
      <c r="C450" s="60" t="s">
        <v>97</v>
      </c>
      <c r="D450" s="60" t="s">
        <v>192</v>
      </c>
      <c r="E450" s="60">
        <v>1</v>
      </c>
      <c r="F450" s="60" t="s">
        <v>1</v>
      </c>
      <c r="G450" s="72" t="s">
        <v>12</v>
      </c>
      <c r="H450" s="73">
        <v>36358152.9912</v>
      </c>
      <c r="I450" s="74">
        <v>1</v>
      </c>
      <c r="J450" s="29">
        <v>2500</v>
      </c>
      <c r="K450" s="29" t="s">
        <v>124</v>
      </c>
      <c r="L450" s="29">
        <v>15</v>
      </c>
      <c r="M450" s="29"/>
      <c r="N450" s="29"/>
      <c r="O450" s="29"/>
      <c r="P450" s="73">
        <f t="shared" si="30"/>
        <v>36358152.9912</v>
      </c>
      <c r="Q450" s="75" t="s">
        <v>52</v>
      </c>
      <c r="S450" s="52">
        <f t="shared" si="33"/>
        <v>56814704.190168768</v>
      </c>
      <c r="T450" s="33"/>
    </row>
    <row r="451" spans="1:20" x14ac:dyDescent="0.25">
      <c r="A451" s="26" t="s">
        <v>81</v>
      </c>
      <c r="B451" s="60" t="s">
        <v>13</v>
      </c>
      <c r="C451" s="60" t="s">
        <v>97</v>
      </c>
      <c r="D451" s="60" t="s">
        <v>193</v>
      </c>
      <c r="E451" s="60">
        <v>2</v>
      </c>
      <c r="F451" s="60" t="s">
        <v>1</v>
      </c>
      <c r="G451" s="72" t="s">
        <v>12</v>
      </c>
      <c r="H451" s="73">
        <v>8424308.1975999996</v>
      </c>
      <c r="I451" s="74">
        <v>1</v>
      </c>
      <c r="J451" s="29">
        <v>500</v>
      </c>
      <c r="K451" s="29" t="s">
        <v>124</v>
      </c>
      <c r="L451" s="29">
        <v>25</v>
      </c>
      <c r="M451" s="29"/>
      <c r="N451" s="29"/>
      <c r="O451" s="29"/>
      <c r="P451" s="73">
        <f t="shared" si="30"/>
        <v>8424308.1975999996</v>
      </c>
      <c r="Q451" s="75" t="s">
        <v>52</v>
      </c>
      <c r="S451" s="52">
        <f t="shared" si="33"/>
        <v>13164160.961897664</v>
      </c>
      <c r="T451" s="33"/>
    </row>
    <row r="452" spans="1:20" x14ac:dyDescent="0.25">
      <c r="A452" s="26" t="s">
        <v>81</v>
      </c>
      <c r="B452" s="60" t="s">
        <v>13</v>
      </c>
      <c r="C452" s="60" t="s">
        <v>97</v>
      </c>
      <c r="D452" s="60" t="s">
        <v>194</v>
      </c>
      <c r="E452" s="60">
        <v>2</v>
      </c>
      <c r="F452" s="60" t="s">
        <v>1</v>
      </c>
      <c r="G452" s="72" t="s">
        <v>12</v>
      </c>
      <c r="H452" s="73">
        <v>17389033.26186667</v>
      </c>
      <c r="I452" s="74">
        <v>1</v>
      </c>
      <c r="J452" s="29">
        <v>1000</v>
      </c>
      <c r="K452" s="29" t="s">
        <v>124</v>
      </c>
      <c r="L452" s="29">
        <v>25</v>
      </c>
      <c r="M452" s="29"/>
      <c r="N452" s="29"/>
      <c r="O452" s="29"/>
      <c r="P452" s="73">
        <f t="shared" si="30"/>
        <v>17389033.26186667</v>
      </c>
      <c r="Q452" s="75" t="s">
        <v>52</v>
      </c>
      <c r="S452" s="52">
        <f t="shared" si="33"/>
        <v>27172798.936323337</v>
      </c>
      <c r="T452" s="33"/>
    </row>
    <row r="453" spans="1:20" x14ac:dyDescent="0.25">
      <c r="A453" s="26" t="s">
        <v>81</v>
      </c>
      <c r="B453" s="60" t="s">
        <v>13</v>
      </c>
      <c r="C453" s="60" t="s">
        <v>97</v>
      </c>
      <c r="D453" s="60" t="s">
        <v>195</v>
      </c>
      <c r="E453" s="60">
        <v>2</v>
      </c>
      <c r="F453" s="60" t="s">
        <v>1</v>
      </c>
      <c r="G453" s="72" t="s">
        <v>12</v>
      </c>
      <c r="H453" s="73">
        <v>26987397.460266668</v>
      </c>
      <c r="I453" s="74">
        <v>1</v>
      </c>
      <c r="J453" s="29">
        <v>1500</v>
      </c>
      <c r="K453" s="29" t="s">
        <v>124</v>
      </c>
      <c r="L453" s="29">
        <v>25</v>
      </c>
      <c r="M453" s="29"/>
      <c r="N453" s="29"/>
      <c r="O453" s="29"/>
      <c r="P453" s="73">
        <f t="shared" si="30"/>
        <v>26987397.460266668</v>
      </c>
      <c r="Q453" s="75" t="s">
        <v>52</v>
      </c>
      <c r="S453" s="52">
        <f t="shared" si="33"/>
        <v>42171586.767311104</v>
      </c>
      <c r="T453" s="33"/>
    </row>
    <row r="454" spans="1:20" x14ac:dyDescent="0.25">
      <c r="A454" s="26" t="s">
        <v>81</v>
      </c>
      <c r="B454" s="60" t="s">
        <v>13</v>
      </c>
      <c r="C454" s="60" t="s">
        <v>97</v>
      </c>
      <c r="D454" s="60" t="s">
        <v>196</v>
      </c>
      <c r="E454" s="60">
        <v>2</v>
      </c>
      <c r="F454" s="60" t="s">
        <v>1</v>
      </c>
      <c r="G454" s="72" t="s">
        <v>12</v>
      </c>
      <c r="H454" s="73">
        <v>38977684.289999999</v>
      </c>
      <c r="I454" s="74">
        <v>1</v>
      </c>
      <c r="J454" s="29">
        <v>2500</v>
      </c>
      <c r="K454" s="29" t="s">
        <v>124</v>
      </c>
      <c r="L454" s="29">
        <v>25</v>
      </c>
      <c r="M454" s="29"/>
      <c r="N454" s="29"/>
      <c r="O454" s="29"/>
      <c r="P454" s="73">
        <f t="shared" si="30"/>
        <v>38977684.289999999</v>
      </c>
      <c r="Q454" s="75" t="s">
        <v>52</v>
      </c>
      <c r="S454" s="52">
        <f t="shared" si="33"/>
        <v>60908088.578925602</v>
      </c>
      <c r="T454" s="33"/>
    </row>
    <row r="455" spans="1:20" x14ac:dyDescent="0.25">
      <c r="A455" s="26" t="s">
        <v>81</v>
      </c>
      <c r="B455" s="60" t="s">
        <v>13</v>
      </c>
      <c r="C455" s="60" t="s">
        <v>97</v>
      </c>
      <c r="D455" s="60" t="s">
        <v>197</v>
      </c>
      <c r="E455" s="60">
        <v>2</v>
      </c>
      <c r="F455" s="60" t="s">
        <v>1</v>
      </c>
      <c r="G455" s="72" t="s">
        <v>12</v>
      </c>
      <c r="H455" s="73">
        <v>8424308.1975999996</v>
      </c>
      <c r="I455" s="74">
        <v>1</v>
      </c>
      <c r="J455" s="29">
        <v>500</v>
      </c>
      <c r="K455" s="29" t="s">
        <v>124</v>
      </c>
      <c r="L455" s="29">
        <v>15</v>
      </c>
      <c r="M455" s="29"/>
      <c r="N455" s="29"/>
      <c r="O455" s="29"/>
      <c r="P455" s="73">
        <f t="shared" si="30"/>
        <v>8424308.1975999996</v>
      </c>
      <c r="Q455" s="75" t="s">
        <v>52</v>
      </c>
      <c r="S455" s="52">
        <f t="shared" si="33"/>
        <v>13164160.961897664</v>
      </c>
      <c r="T455" s="33"/>
    </row>
    <row r="456" spans="1:20" x14ac:dyDescent="0.25">
      <c r="A456" s="26" t="s">
        <v>81</v>
      </c>
      <c r="B456" s="60" t="s">
        <v>13</v>
      </c>
      <c r="C456" s="60" t="s">
        <v>97</v>
      </c>
      <c r="D456" s="60" t="s">
        <v>198</v>
      </c>
      <c r="E456" s="60">
        <v>2</v>
      </c>
      <c r="F456" s="60" t="s">
        <v>1</v>
      </c>
      <c r="G456" s="72" t="s">
        <v>12</v>
      </c>
      <c r="H456" s="73">
        <v>17389033.26186667</v>
      </c>
      <c r="I456" s="74">
        <v>1</v>
      </c>
      <c r="J456" s="29">
        <v>1000</v>
      </c>
      <c r="K456" s="29" t="s">
        <v>124</v>
      </c>
      <c r="L456" s="29">
        <v>15</v>
      </c>
      <c r="M456" s="29"/>
      <c r="N456" s="29"/>
      <c r="O456" s="29"/>
      <c r="P456" s="73">
        <f t="shared" si="30"/>
        <v>17389033.26186667</v>
      </c>
      <c r="Q456" s="75" t="s">
        <v>52</v>
      </c>
      <c r="S456" s="52">
        <f t="shared" si="33"/>
        <v>27172798.936323337</v>
      </c>
      <c r="T456" s="33"/>
    </row>
    <row r="457" spans="1:20" x14ac:dyDescent="0.25">
      <c r="A457" s="26" t="s">
        <v>81</v>
      </c>
      <c r="B457" s="60" t="s">
        <v>13</v>
      </c>
      <c r="C457" s="60" t="s">
        <v>97</v>
      </c>
      <c r="D457" s="60" t="s">
        <v>199</v>
      </c>
      <c r="E457" s="60">
        <v>2</v>
      </c>
      <c r="F457" s="60" t="s">
        <v>1</v>
      </c>
      <c r="G457" s="72" t="s">
        <v>12</v>
      </c>
      <c r="H457" s="73">
        <v>26987397.460266668</v>
      </c>
      <c r="I457" s="74">
        <v>1</v>
      </c>
      <c r="J457" s="29">
        <v>1500</v>
      </c>
      <c r="K457" s="29" t="s">
        <v>124</v>
      </c>
      <c r="L457" s="29">
        <v>15</v>
      </c>
      <c r="M457" s="29"/>
      <c r="N457" s="29"/>
      <c r="O457" s="29"/>
      <c r="P457" s="73">
        <f t="shared" si="30"/>
        <v>26987397.460266668</v>
      </c>
      <c r="Q457" s="75" t="s">
        <v>52</v>
      </c>
      <c r="S457" s="52">
        <f t="shared" si="33"/>
        <v>42171586.767311104</v>
      </c>
      <c r="T457" s="33"/>
    </row>
    <row r="458" spans="1:20" x14ac:dyDescent="0.25">
      <c r="A458" s="26" t="s">
        <v>81</v>
      </c>
      <c r="B458" s="60" t="s">
        <v>13</v>
      </c>
      <c r="C458" s="60" t="s">
        <v>97</v>
      </c>
      <c r="D458" s="60" t="s">
        <v>200</v>
      </c>
      <c r="E458" s="60">
        <v>2</v>
      </c>
      <c r="F458" s="60" t="s">
        <v>1</v>
      </c>
      <c r="G458" s="72" t="s">
        <v>12</v>
      </c>
      <c r="H458" s="73">
        <v>38977684.289999999</v>
      </c>
      <c r="I458" s="74">
        <v>1</v>
      </c>
      <c r="J458" s="29">
        <v>2500</v>
      </c>
      <c r="K458" s="29" t="s">
        <v>124</v>
      </c>
      <c r="L458" s="29">
        <v>15</v>
      </c>
      <c r="M458" s="29"/>
      <c r="N458" s="29"/>
      <c r="O458" s="29"/>
      <c r="P458" s="73">
        <f t="shared" si="30"/>
        <v>38977684.289999999</v>
      </c>
      <c r="Q458" s="75" t="s">
        <v>52</v>
      </c>
      <c r="S458" s="52">
        <f t="shared" si="33"/>
        <v>60908088.578925602</v>
      </c>
      <c r="T458" s="33"/>
    </row>
    <row r="459" spans="1:20" x14ac:dyDescent="0.25">
      <c r="A459" s="26" t="s">
        <v>81</v>
      </c>
      <c r="B459" s="60" t="s">
        <v>13</v>
      </c>
      <c r="C459" s="60" t="s">
        <v>97</v>
      </c>
      <c r="D459" s="60" t="s">
        <v>193</v>
      </c>
      <c r="E459" s="60">
        <v>3</v>
      </c>
      <c r="F459" s="60" t="s">
        <v>1</v>
      </c>
      <c r="G459" s="72" t="s">
        <v>12</v>
      </c>
      <c r="H459" s="73">
        <v>8424308.1975999996</v>
      </c>
      <c r="I459" s="74">
        <v>1</v>
      </c>
      <c r="J459" s="29">
        <v>500</v>
      </c>
      <c r="K459" s="29" t="s">
        <v>124</v>
      </c>
      <c r="L459" s="29">
        <v>25</v>
      </c>
      <c r="M459" s="29"/>
      <c r="N459" s="29"/>
      <c r="O459" s="29"/>
      <c r="P459" s="73">
        <f t="shared" ref="P459:P466" si="34">+I459*H459</f>
        <v>8424308.1975999996</v>
      </c>
      <c r="Q459" s="75" t="s">
        <v>52</v>
      </c>
      <c r="S459" s="52">
        <f t="shared" si="33"/>
        <v>13164160.961897664</v>
      </c>
      <c r="T459" s="33"/>
    </row>
    <row r="460" spans="1:20" x14ac:dyDescent="0.25">
      <c r="A460" s="26" t="s">
        <v>81</v>
      </c>
      <c r="B460" s="60" t="s">
        <v>13</v>
      </c>
      <c r="C460" s="60" t="s">
        <v>97</v>
      </c>
      <c r="D460" s="60" t="s">
        <v>194</v>
      </c>
      <c r="E460" s="60">
        <v>3</v>
      </c>
      <c r="F460" s="60" t="s">
        <v>1</v>
      </c>
      <c r="G460" s="72" t="s">
        <v>12</v>
      </c>
      <c r="H460" s="73">
        <v>17389033.26186667</v>
      </c>
      <c r="I460" s="74">
        <v>1</v>
      </c>
      <c r="J460" s="29">
        <v>1000</v>
      </c>
      <c r="K460" s="29" t="s">
        <v>124</v>
      </c>
      <c r="L460" s="29">
        <v>25</v>
      </c>
      <c r="M460" s="29"/>
      <c r="N460" s="29"/>
      <c r="O460" s="29"/>
      <c r="P460" s="73">
        <f t="shared" si="34"/>
        <v>17389033.26186667</v>
      </c>
      <c r="Q460" s="75" t="s">
        <v>52</v>
      </c>
      <c r="S460" s="52">
        <f t="shared" si="33"/>
        <v>27172798.936323337</v>
      </c>
      <c r="T460" s="33"/>
    </row>
    <row r="461" spans="1:20" x14ac:dyDescent="0.25">
      <c r="A461" s="26" t="s">
        <v>81</v>
      </c>
      <c r="B461" s="60" t="s">
        <v>13</v>
      </c>
      <c r="C461" s="60" t="s">
        <v>97</v>
      </c>
      <c r="D461" s="60" t="s">
        <v>195</v>
      </c>
      <c r="E461" s="60">
        <v>3</v>
      </c>
      <c r="F461" s="60" t="s">
        <v>1</v>
      </c>
      <c r="G461" s="72" t="s">
        <v>12</v>
      </c>
      <c r="H461" s="73">
        <v>26987397.460266668</v>
      </c>
      <c r="I461" s="74">
        <v>1</v>
      </c>
      <c r="J461" s="29">
        <v>1500</v>
      </c>
      <c r="K461" s="29" t="s">
        <v>124</v>
      </c>
      <c r="L461" s="29">
        <v>25</v>
      </c>
      <c r="M461" s="29"/>
      <c r="N461" s="29"/>
      <c r="O461" s="29"/>
      <c r="P461" s="73">
        <f t="shared" si="34"/>
        <v>26987397.460266668</v>
      </c>
      <c r="Q461" s="75" t="s">
        <v>52</v>
      </c>
      <c r="S461" s="52">
        <f t="shared" si="33"/>
        <v>42171586.767311104</v>
      </c>
      <c r="T461" s="33"/>
    </row>
    <row r="462" spans="1:20" x14ac:dyDescent="0.25">
      <c r="A462" s="26" t="s">
        <v>81</v>
      </c>
      <c r="B462" s="60" t="s">
        <v>13</v>
      </c>
      <c r="C462" s="60" t="s">
        <v>97</v>
      </c>
      <c r="D462" s="60" t="s">
        <v>196</v>
      </c>
      <c r="E462" s="60">
        <v>3</v>
      </c>
      <c r="F462" s="60" t="s">
        <v>1</v>
      </c>
      <c r="G462" s="72" t="s">
        <v>12</v>
      </c>
      <c r="H462" s="73">
        <v>38977684.289999999</v>
      </c>
      <c r="I462" s="74">
        <v>1</v>
      </c>
      <c r="J462" s="29">
        <v>2500</v>
      </c>
      <c r="K462" s="29" t="s">
        <v>124</v>
      </c>
      <c r="L462" s="29">
        <v>25</v>
      </c>
      <c r="M462" s="29"/>
      <c r="N462" s="29"/>
      <c r="O462" s="29"/>
      <c r="P462" s="73">
        <f t="shared" si="34"/>
        <v>38977684.289999999</v>
      </c>
      <c r="Q462" s="75" t="s">
        <v>52</v>
      </c>
      <c r="S462" s="52">
        <f t="shared" si="33"/>
        <v>60908088.578925602</v>
      </c>
      <c r="T462" s="33"/>
    </row>
    <row r="463" spans="1:20" x14ac:dyDescent="0.25">
      <c r="A463" s="26" t="s">
        <v>81</v>
      </c>
      <c r="B463" s="60" t="s">
        <v>13</v>
      </c>
      <c r="C463" s="60" t="s">
        <v>97</v>
      </c>
      <c r="D463" s="60" t="s">
        <v>197</v>
      </c>
      <c r="E463" s="60">
        <v>3</v>
      </c>
      <c r="F463" s="60" t="s">
        <v>1</v>
      </c>
      <c r="G463" s="72" t="s">
        <v>12</v>
      </c>
      <c r="H463" s="73">
        <v>8424308.1975999996</v>
      </c>
      <c r="I463" s="74">
        <v>1</v>
      </c>
      <c r="J463" s="29">
        <v>500</v>
      </c>
      <c r="K463" s="29" t="s">
        <v>124</v>
      </c>
      <c r="L463" s="29">
        <v>15</v>
      </c>
      <c r="M463" s="29"/>
      <c r="N463" s="29"/>
      <c r="O463" s="29"/>
      <c r="P463" s="73">
        <f t="shared" si="34"/>
        <v>8424308.1975999996</v>
      </c>
      <c r="Q463" s="75" t="s">
        <v>52</v>
      </c>
      <c r="S463" s="52">
        <f t="shared" si="33"/>
        <v>13164160.961897664</v>
      </c>
      <c r="T463" s="33"/>
    </row>
    <row r="464" spans="1:20" x14ac:dyDescent="0.25">
      <c r="A464" s="26" t="s">
        <v>81</v>
      </c>
      <c r="B464" s="60" t="s">
        <v>13</v>
      </c>
      <c r="C464" s="60" t="s">
        <v>97</v>
      </c>
      <c r="D464" s="60" t="s">
        <v>198</v>
      </c>
      <c r="E464" s="60">
        <v>3</v>
      </c>
      <c r="F464" s="60" t="s">
        <v>1</v>
      </c>
      <c r="G464" s="72" t="s">
        <v>12</v>
      </c>
      <c r="H464" s="73">
        <v>17389033.26186667</v>
      </c>
      <c r="I464" s="74">
        <v>1</v>
      </c>
      <c r="J464" s="29">
        <v>1000</v>
      </c>
      <c r="K464" s="29" t="s">
        <v>124</v>
      </c>
      <c r="L464" s="29">
        <v>15</v>
      </c>
      <c r="M464" s="29"/>
      <c r="N464" s="29"/>
      <c r="O464" s="29"/>
      <c r="P464" s="73">
        <f t="shared" si="34"/>
        <v>17389033.26186667</v>
      </c>
      <c r="Q464" s="75" t="s">
        <v>52</v>
      </c>
      <c r="S464" s="52">
        <f t="shared" si="33"/>
        <v>27172798.936323337</v>
      </c>
      <c r="T464" s="33"/>
    </row>
    <row r="465" spans="1:20" x14ac:dyDescent="0.25">
      <c r="A465" s="26" t="s">
        <v>81</v>
      </c>
      <c r="B465" s="60" t="s">
        <v>13</v>
      </c>
      <c r="C465" s="60" t="s">
        <v>97</v>
      </c>
      <c r="D465" s="60" t="s">
        <v>199</v>
      </c>
      <c r="E465" s="60">
        <v>3</v>
      </c>
      <c r="F465" s="60" t="s">
        <v>1</v>
      </c>
      <c r="G465" s="72" t="s">
        <v>12</v>
      </c>
      <c r="H465" s="73">
        <v>26987397.460266668</v>
      </c>
      <c r="I465" s="74">
        <v>1</v>
      </c>
      <c r="J465" s="29">
        <v>1500</v>
      </c>
      <c r="K465" s="29" t="s">
        <v>124</v>
      </c>
      <c r="L465" s="29">
        <v>15</v>
      </c>
      <c r="M465" s="29"/>
      <c r="N465" s="29"/>
      <c r="O465" s="29"/>
      <c r="P465" s="73">
        <f t="shared" si="34"/>
        <v>26987397.460266668</v>
      </c>
      <c r="Q465" s="75" t="s">
        <v>52</v>
      </c>
      <c r="S465" s="52">
        <f t="shared" si="33"/>
        <v>42171586.767311104</v>
      </c>
      <c r="T465" s="33"/>
    </row>
    <row r="466" spans="1:20" x14ac:dyDescent="0.25">
      <c r="A466" s="26" t="s">
        <v>81</v>
      </c>
      <c r="B466" s="60" t="s">
        <v>13</v>
      </c>
      <c r="C466" s="60" t="s">
        <v>97</v>
      </c>
      <c r="D466" s="60" t="s">
        <v>200</v>
      </c>
      <c r="E466" s="60">
        <v>3</v>
      </c>
      <c r="F466" s="60" t="s">
        <v>1</v>
      </c>
      <c r="G466" s="72" t="s">
        <v>12</v>
      </c>
      <c r="H466" s="73">
        <v>38977684.289999999</v>
      </c>
      <c r="I466" s="74">
        <v>1</v>
      </c>
      <c r="J466" s="29">
        <v>2500</v>
      </c>
      <c r="K466" s="29" t="s">
        <v>124</v>
      </c>
      <c r="L466" s="29">
        <v>15</v>
      </c>
      <c r="M466" s="29"/>
      <c r="N466" s="29"/>
      <c r="O466" s="29"/>
      <c r="P466" s="73">
        <f t="shared" si="34"/>
        <v>38977684.289999999</v>
      </c>
      <c r="Q466" s="75" t="s">
        <v>52</v>
      </c>
      <c r="S466" s="52">
        <f t="shared" si="33"/>
        <v>60908088.578925602</v>
      </c>
      <c r="T466" s="33"/>
    </row>
    <row r="467" spans="1:20" x14ac:dyDescent="0.25">
      <c r="A467" s="26" t="s">
        <v>81</v>
      </c>
      <c r="B467" s="60" t="s">
        <v>13</v>
      </c>
      <c r="C467" s="60" t="s">
        <v>98</v>
      </c>
      <c r="D467" s="60" t="s">
        <v>185</v>
      </c>
      <c r="E467" s="60">
        <v>1</v>
      </c>
      <c r="F467" s="60" t="s">
        <v>1</v>
      </c>
      <c r="G467" s="72" t="s">
        <v>12</v>
      </c>
      <c r="H467" s="73">
        <v>9319531.0633333344</v>
      </c>
      <c r="I467" s="74">
        <v>1</v>
      </c>
      <c r="J467" s="29">
        <v>500</v>
      </c>
      <c r="K467" s="29" t="s">
        <v>124</v>
      </c>
      <c r="L467" s="29">
        <v>25</v>
      </c>
      <c r="M467" s="29"/>
      <c r="N467" s="29"/>
      <c r="O467" s="29"/>
      <c r="P467" s="73">
        <f t="shared" si="30"/>
        <v>9319531.0633333344</v>
      </c>
      <c r="Q467" s="75" t="s">
        <v>52</v>
      </c>
      <c r="S467" s="52">
        <f t="shared" si="33"/>
        <v>14563072.020807201</v>
      </c>
      <c r="T467" s="33"/>
    </row>
    <row r="468" spans="1:20" x14ac:dyDescent="0.25">
      <c r="A468" s="26" t="s">
        <v>81</v>
      </c>
      <c r="B468" s="60" t="s">
        <v>13</v>
      </c>
      <c r="C468" s="60" t="s">
        <v>98</v>
      </c>
      <c r="D468" s="60" t="s">
        <v>186</v>
      </c>
      <c r="E468" s="60">
        <v>1</v>
      </c>
      <c r="F468" s="60" t="s">
        <v>1</v>
      </c>
      <c r="G468" s="72" t="s">
        <v>12</v>
      </c>
      <c r="H468" s="73">
        <v>18035709.063333333</v>
      </c>
      <c r="I468" s="74">
        <v>1</v>
      </c>
      <c r="J468" s="29">
        <v>1000</v>
      </c>
      <c r="K468" s="29" t="s">
        <v>124</v>
      </c>
      <c r="L468" s="29">
        <v>25</v>
      </c>
      <c r="M468" s="29"/>
      <c r="N468" s="29"/>
      <c r="O468" s="29"/>
      <c r="P468" s="73">
        <f t="shared" si="30"/>
        <v>18035709.063333333</v>
      </c>
      <c r="Q468" s="75" t="s">
        <v>52</v>
      </c>
      <c r="S468" s="52">
        <f t="shared" si="33"/>
        <v>28183320.410727195</v>
      </c>
      <c r="T468" s="33"/>
    </row>
    <row r="469" spans="1:20" x14ac:dyDescent="0.25">
      <c r="A469" s="26" t="s">
        <v>81</v>
      </c>
      <c r="B469" s="60" t="s">
        <v>13</v>
      </c>
      <c r="C469" s="60" t="s">
        <v>98</v>
      </c>
      <c r="D469" s="60" t="s">
        <v>187</v>
      </c>
      <c r="E469" s="60">
        <v>1</v>
      </c>
      <c r="F469" s="60" t="s">
        <v>1</v>
      </c>
      <c r="G469" s="72" t="s">
        <v>12</v>
      </c>
      <c r="H469" s="73">
        <v>26053039.73</v>
      </c>
      <c r="I469" s="74">
        <v>1</v>
      </c>
      <c r="J469" s="29">
        <v>1500</v>
      </c>
      <c r="K469" s="29" t="s">
        <v>124</v>
      </c>
      <c r="L469" s="29">
        <v>25</v>
      </c>
      <c r="M469" s="29"/>
      <c r="N469" s="29"/>
      <c r="O469" s="29"/>
      <c r="P469" s="73">
        <f t="shared" si="30"/>
        <v>26053039.73</v>
      </c>
      <c r="Q469" s="75" t="s">
        <v>52</v>
      </c>
      <c r="S469" s="52">
        <f t="shared" si="33"/>
        <v>40711522.003687195</v>
      </c>
      <c r="T469" s="33"/>
    </row>
    <row r="470" spans="1:20" x14ac:dyDescent="0.25">
      <c r="A470" s="26" t="s">
        <v>81</v>
      </c>
      <c r="B470" s="60" t="s">
        <v>13</v>
      </c>
      <c r="C470" s="60" t="s">
        <v>98</v>
      </c>
      <c r="D470" s="60" t="s">
        <v>188</v>
      </c>
      <c r="E470" s="60">
        <v>1</v>
      </c>
      <c r="F470" s="60" t="s">
        <v>1</v>
      </c>
      <c r="G470" s="72" t="s">
        <v>12</v>
      </c>
      <c r="H470" s="73">
        <v>39083959.729999997</v>
      </c>
      <c r="I470" s="74">
        <v>1</v>
      </c>
      <c r="J470" s="29">
        <v>2500</v>
      </c>
      <c r="K470" s="29" t="s">
        <v>124</v>
      </c>
      <c r="L470" s="29">
        <v>25</v>
      </c>
      <c r="M470" s="29"/>
      <c r="N470" s="29"/>
      <c r="O470" s="29"/>
      <c r="P470" s="73">
        <f t="shared" si="30"/>
        <v>39083959.729999997</v>
      </c>
      <c r="Q470" s="75" t="s">
        <v>52</v>
      </c>
      <c r="S470" s="52">
        <f t="shared" si="33"/>
        <v>61074158.832487188</v>
      </c>
      <c r="T470" s="33"/>
    </row>
    <row r="471" spans="1:20" x14ac:dyDescent="0.25">
      <c r="A471" s="26" t="s">
        <v>81</v>
      </c>
      <c r="B471" s="60" t="s">
        <v>13</v>
      </c>
      <c r="C471" s="60" t="s">
        <v>98</v>
      </c>
      <c r="D471" s="60" t="s">
        <v>189</v>
      </c>
      <c r="E471" s="60">
        <v>1</v>
      </c>
      <c r="F471" s="60" t="s">
        <v>1</v>
      </c>
      <c r="G471" s="72" t="s">
        <v>12</v>
      </c>
      <c r="H471" s="73">
        <v>8913404.3966666665</v>
      </c>
      <c r="I471" s="74">
        <v>1</v>
      </c>
      <c r="J471" s="29">
        <v>500</v>
      </c>
      <c r="K471" s="29" t="s">
        <v>124</v>
      </c>
      <c r="L471" s="29">
        <v>15</v>
      </c>
      <c r="M471" s="29"/>
      <c r="N471" s="29"/>
      <c r="O471" s="29"/>
      <c r="P471" s="73">
        <f t="shared" si="30"/>
        <v>8913404.3966666665</v>
      </c>
      <c r="Q471" s="75" t="s">
        <v>52</v>
      </c>
      <c r="S471" s="52">
        <f t="shared" si="33"/>
        <v>13928442.2464072</v>
      </c>
      <c r="T471" s="33"/>
    </row>
    <row r="472" spans="1:20" x14ac:dyDescent="0.25">
      <c r="A472" s="26" t="s">
        <v>81</v>
      </c>
      <c r="B472" s="60" t="s">
        <v>13</v>
      </c>
      <c r="C472" s="60" t="s">
        <v>98</v>
      </c>
      <c r="D472" s="60" t="s">
        <v>190</v>
      </c>
      <c r="E472" s="60">
        <v>1</v>
      </c>
      <c r="F472" s="60" t="s">
        <v>1</v>
      </c>
      <c r="G472" s="72" t="s">
        <v>12</v>
      </c>
      <c r="H472" s="73">
        <v>17223455.73</v>
      </c>
      <c r="I472" s="74">
        <v>1</v>
      </c>
      <c r="J472" s="29">
        <v>1000</v>
      </c>
      <c r="K472" s="29" t="s">
        <v>124</v>
      </c>
      <c r="L472" s="29">
        <v>15</v>
      </c>
      <c r="M472" s="29"/>
      <c r="N472" s="29"/>
      <c r="O472" s="29"/>
      <c r="P472" s="73">
        <f t="shared" si="30"/>
        <v>17223455.73</v>
      </c>
      <c r="Q472" s="75" t="s">
        <v>52</v>
      </c>
      <c r="S472" s="52">
        <f t="shared" si="33"/>
        <v>26914060.8619272</v>
      </c>
      <c r="T472" s="33"/>
    </row>
    <row r="473" spans="1:20" x14ac:dyDescent="0.25">
      <c r="A473" s="26" t="s">
        <v>81</v>
      </c>
      <c r="B473" s="60" t="s">
        <v>13</v>
      </c>
      <c r="C473" s="60" t="s">
        <v>98</v>
      </c>
      <c r="D473" s="60" t="s">
        <v>191</v>
      </c>
      <c r="E473" s="60">
        <v>1</v>
      </c>
      <c r="F473" s="60" t="s">
        <v>1</v>
      </c>
      <c r="G473" s="72" t="s">
        <v>12</v>
      </c>
      <c r="H473" s="73">
        <v>24834659.73</v>
      </c>
      <c r="I473" s="74">
        <v>1</v>
      </c>
      <c r="J473" s="29">
        <v>1500</v>
      </c>
      <c r="K473" s="29" t="s">
        <v>124</v>
      </c>
      <c r="L473" s="29">
        <v>15</v>
      </c>
      <c r="M473" s="29"/>
      <c r="N473" s="29"/>
      <c r="O473" s="29"/>
      <c r="P473" s="73">
        <f t="shared" si="30"/>
        <v>24834659.73</v>
      </c>
      <c r="Q473" s="75" t="s">
        <v>52</v>
      </c>
      <c r="S473" s="52">
        <f t="shared" si="33"/>
        <v>38807632.680487201</v>
      </c>
      <c r="T473" s="33"/>
    </row>
    <row r="474" spans="1:20" x14ac:dyDescent="0.25">
      <c r="A474" s="26" t="s">
        <v>81</v>
      </c>
      <c r="B474" s="60" t="s">
        <v>13</v>
      </c>
      <c r="C474" s="60" t="s">
        <v>98</v>
      </c>
      <c r="D474" s="60" t="s">
        <v>192</v>
      </c>
      <c r="E474" s="60">
        <v>1</v>
      </c>
      <c r="F474" s="60" t="s">
        <v>1</v>
      </c>
      <c r="G474" s="72" t="s">
        <v>12</v>
      </c>
      <c r="H474" s="73">
        <v>37053326.396666668</v>
      </c>
      <c r="I474" s="74">
        <v>1</v>
      </c>
      <c r="J474" s="29">
        <v>2500</v>
      </c>
      <c r="K474" s="29" t="s">
        <v>124</v>
      </c>
      <c r="L474" s="29">
        <v>15</v>
      </c>
      <c r="M474" s="29"/>
      <c r="N474" s="29"/>
      <c r="O474" s="29"/>
      <c r="P474" s="73">
        <f t="shared" si="30"/>
        <v>37053326.396666668</v>
      </c>
      <c r="Q474" s="75" t="s">
        <v>52</v>
      </c>
      <c r="S474" s="52">
        <f t="shared" si="33"/>
        <v>57901009.960487194</v>
      </c>
      <c r="T474" s="33"/>
    </row>
    <row r="475" spans="1:20" x14ac:dyDescent="0.25">
      <c r="A475" s="26" t="s">
        <v>81</v>
      </c>
      <c r="B475" s="60" t="s">
        <v>13</v>
      </c>
      <c r="C475" s="60" t="s">
        <v>98</v>
      </c>
      <c r="D475" s="60" t="s">
        <v>193</v>
      </c>
      <c r="E475" s="60">
        <v>2</v>
      </c>
      <c r="F475" s="60" t="s">
        <v>1</v>
      </c>
      <c r="G475" s="72" t="s">
        <v>12</v>
      </c>
      <c r="H475" s="73">
        <v>10160752.263333334</v>
      </c>
      <c r="I475" s="74">
        <v>1</v>
      </c>
      <c r="J475" s="29">
        <v>500</v>
      </c>
      <c r="K475" s="29" t="s">
        <v>124</v>
      </c>
      <c r="L475" s="29">
        <v>25</v>
      </c>
      <c r="M475" s="29"/>
      <c r="N475" s="29"/>
      <c r="O475" s="29"/>
      <c r="P475" s="73">
        <f t="shared" si="30"/>
        <v>10160752.263333334</v>
      </c>
      <c r="Q475" s="75" t="s">
        <v>52</v>
      </c>
      <c r="S475" s="52">
        <f t="shared" si="33"/>
        <v>15877597.916775201</v>
      </c>
      <c r="T475" s="33"/>
    </row>
    <row r="476" spans="1:20" x14ac:dyDescent="0.25">
      <c r="A476" s="26" t="s">
        <v>81</v>
      </c>
      <c r="B476" s="60" t="s">
        <v>13</v>
      </c>
      <c r="C476" s="60" t="s">
        <v>98</v>
      </c>
      <c r="D476" s="60" t="s">
        <v>194</v>
      </c>
      <c r="E476" s="60">
        <v>2</v>
      </c>
      <c r="F476" s="60" t="s">
        <v>1</v>
      </c>
      <c r="G476" s="72" t="s">
        <v>12</v>
      </c>
      <c r="H476" s="73">
        <v>19537145.66333333</v>
      </c>
      <c r="I476" s="74">
        <v>1</v>
      </c>
      <c r="J476" s="29">
        <v>1000</v>
      </c>
      <c r="K476" s="29" t="s">
        <v>124</v>
      </c>
      <c r="L476" s="29">
        <v>25</v>
      </c>
      <c r="M476" s="29"/>
      <c r="N476" s="29"/>
      <c r="O476" s="29"/>
      <c r="P476" s="73">
        <f t="shared" si="30"/>
        <v>19537145.66333333</v>
      </c>
      <c r="Q476" s="75" t="s">
        <v>52</v>
      </c>
      <c r="S476" s="52">
        <f t="shared" si="33"/>
        <v>30529525.299351193</v>
      </c>
      <c r="T476" s="33"/>
    </row>
    <row r="477" spans="1:20" x14ac:dyDescent="0.25">
      <c r="A477" s="26" t="s">
        <v>81</v>
      </c>
      <c r="B477" s="60" t="s">
        <v>13</v>
      </c>
      <c r="C477" s="60" t="s">
        <v>98</v>
      </c>
      <c r="D477" s="60" t="s">
        <v>195</v>
      </c>
      <c r="E477" s="60">
        <v>2</v>
      </c>
      <c r="F477" s="60" t="s">
        <v>1</v>
      </c>
      <c r="G477" s="72" t="s">
        <v>12</v>
      </c>
      <c r="H477" s="73">
        <v>28005037.530000001</v>
      </c>
      <c r="I477" s="74">
        <v>1</v>
      </c>
      <c r="J477" s="29">
        <v>1500</v>
      </c>
      <c r="K477" s="29" t="s">
        <v>124</v>
      </c>
      <c r="L477" s="29">
        <v>25</v>
      </c>
      <c r="M477" s="29"/>
      <c r="N477" s="29"/>
      <c r="O477" s="29"/>
      <c r="P477" s="73">
        <f t="shared" si="30"/>
        <v>28005037.530000001</v>
      </c>
      <c r="Q477" s="75" t="s">
        <v>52</v>
      </c>
      <c r="S477" s="52">
        <f t="shared" si="33"/>
        <v>43761791.845879212</v>
      </c>
      <c r="T477" s="33"/>
    </row>
    <row r="478" spans="1:20" x14ac:dyDescent="0.25">
      <c r="A478" s="26" t="s">
        <v>81</v>
      </c>
      <c r="B478" s="60" t="s">
        <v>13</v>
      </c>
      <c r="C478" s="60" t="s">
        <v>98</v>
      </c>
      <c r="D478" s="60" t="s">
        <v>196</v>
      </c>
      <c r="E478" s="60">
        <v>2</v>
      </c>
      <c r="F478" s="60" t="s">
        <v>1</v>
      </c>
      <c r="G478" s="72" t="s">
        <v>12</v>
      </c>
      <c r="H478" s="73">
        <v>41035957.530000001</v>
      </c>
      <c r="I478" s="74">
        <v>1</v>
      </c>
      <c r="J478" s="29">
        <v>2500</v>
      </c>
      <c r="K478" s="29" t="s">
        <v>124</v>
      </c>
      <c r="L478" s="29">
        <v>25</v>
      </c>
      <c r="M478" s="29"/>
      <c r="N478" s="29"/>
      <c r="O478" s="29"/>
      <c r="P478" s="73">
        <f t="shared" si="30"/>
        <v>41035957.530000001</v>
      </c>
      <c r="Q478" s="75" t="s">
        <v>52</v>
      </c>
      <c r="S478" s="52">
        <f t="shared" si="33"/>
        <v>64124428.674679205</v>
      </c>
      <c r="T478" s="33"/>
    </row>
    <row r="479" spans="1:20" x14ac:dyDescent="0.25">
      <c r="A479" s="26" t="s">
        <v>81</v>
      </c>
      <c r="B479" s="60" t="s">
        <v>13</v>
      </c>
      <c r="C479" s="60" t="s">
        <v>98</v>
      </c>
      <c r="D479" s="60" t="s">
        <v>197</v>
      </c>
      <c r="E479" s="60">
        <v>2</v>
      </c>
      <c r="F479" s="60" t="s">
        <v>1</v>
      </c>
      <c r="G479" s="72" t="s">
        <v>12</v>
      </c>
      <c r="H479" s="73">
        <v>9754625.5966666657</v>
      </c>
      <c r="I479" s="74">
        <v>1</v>
      </c>
      <c r="J479" s="29">
        <v>500</v>
      </c>
      <c r="K479" s="29" t="s">
        <v>124</v>
      </c>
      <c r="L479" s="29">
        <v>15</v>
      </c>
      <c r="M479" s="29"/>
      <c r="N479" s="29"/>
      <c r="O479" s="29"/>
      <c r="P479" s="73">
        <f t="shared" si="30"/>
        <v>9754625.5966666657</v>
      </c>
      <c r="Q479" s="75" t="s">
        <v>52</v>
      </c>
      <c r="S479" s="52">
        <f t="shared" si="33"/>
        <v>15242968.142375197</v>
      </c>
      <c r="T479" s="33"/>
    </row>
    <row r="480" spans="1:20" x14ac:dyDescent="0.25">
      <c r="A480" s="26" t="s">
        <v>81</v>
      </c>
      <c r="B480" s="60" t="s">
        <v>13</v>
      </c>
      <c r="C480" s="60" t="s">
        <v>98</v>
      </c>
      <c r="D480" s="60" t="s">
        <v>198</v>
      </c>
      <c r="E480" s="60">
        <v>2</v>
      </c>
      <c r="F480" s="60" t="s">
        <v>1</v>
      </c>
      <c r="G480" s="72" t="s">
        <v>12</v>
      </c>
      <c r="H480" s="73">
        <v>18724892.329999998</v>
      </c>
      <c r="I480" s="74">
        <v>1</v>
      </c>
      <c r="J480" s="29">
        <v>1000</v>
      </c>
      <c r="K480" s="29" t="s">
        <v>124</v>
      </c>
      <c r="L480" s="29">
        <v>15</v>
      </c>
      <c r="M480" s="29"/>
      <c r="N480" s="29"/>
      <c r="O480" s="29"/>
      <c r="P480" s="73">
        <f t="shared" si="30"/>
        <v>18724892.329999998</v>
      </c>
      <c r="Q480" s="75" t="s">
        <v>52</v>
      </c>
      <c r="S480" s="52">
        <f t="shared" si="33"/>
        <v>29260265.750551201</v>
      </c>
      <c r="T480" s="33"/>
    </row>
    <row r="481" spans="1:20" x14ac:dyDescent="0.25">
      <c r="A481" s="26" t="s">
        <v>81</v>
      </c>
      <c r="B481" s="60" t="s">
        <v>13</v>
      </c>
      <c r="C481" s="60" t="s">
        <v>98</v>
      </c>
      <c r="D481" s="60" t="s">
        <v>199</v>
      </c>
      <c r="E481" s="60">
        <v>2</v>
      </c>
      <c r="F481" s="60" t="s">
        <v>1</v>
      </c>
      <c r="G481" s="72" t="s">
        <v>12</v>
      </c>
      <c r="H481" s="73">
        <v>26786657.530000001</v>
      </c>
      <c r="I481" s="74">
        <v>1</v>
      </c>
      <c r="J481" s="29">
        <v>1500</v>
      </c>
      <c r="K481" s="29" t="s">
        <v>124</v>
      </c>
      <c r="L481" s="29">
        <v>15</v>
      </c>
      <c r="M481" s="29"/>
      <c r="N481" s="29"/>
      <c r="O481" s="29"/>
      <c r="P481" s="73">
        <f t="shared" si="30"/>
        <v>26786657.530000001</v>
      </c>
      <c r="Q481" s="75" t="s">
        <v>52</v>
      </c>
      <c r="S481" s="52">
        <f t="shared" si="33"/>
        <v>41857902.522679202</v>
      </c>
      <c r="T481" s="33"/>
    </row>
    <row r="482" spans="1:20" x14ac:dyDescent="0.25">
      <c r="A482" s="26" t="s">
        <v>81</v>
      </c>
      <c r="B482" s="60" t="s">
        <v>13</v>
      </c>
      <c r="C482" s="60" t="s">
        <v>98</v>
      </c>
      <c r="D482" s="60" t="s">
        <v>200</v>
      </c>
      <c r="E482" s="60">
        <v>2</v>
      </c>
      <c r="F482" s="60" t="s">
        <v>1</v>
      </c>
      <c r="G482" s="72" t="s">
        <v>12</v>
      </c>
      <c r="H482" s="73">
        <v>39005324.196666665</v>
      </c>
      <c r="I482" s="74">
        <v>1</v>
      </c>
      <c r="J482" s="29">
        <v>2500</v>
      </c>
      <c r="K482" s="29" t="s">
        <v>124</v>
      </c>
      <c r="L482" s="29">
        <v>15</v>
      </c>
      <c r="M482" s="29"/>
      <c r="N482" s="29"/>
      <c r="O482" s="29"/>
      <c r="P482" s="73">
        <f t="shared" si="30"/>
        <v>39005324.196666665</v>
      </c>
      <c r="Q482" s="75" t="s">
        <v>52</v>
      </c>
      <c r="S482" s="52">
        <f t="shared" si="33"/>
        <v>60951279.802679181</v>
      </c>
      <c r="T482" s="33"/>
    </row>
    <row r="483" spans="1:20" x14ac:dyDescent="0.25">
      <c r="A483" s="26" t="s">
        <v>81</v>
      </c>
      <c r="B483" s="60" t="s">
        <v>13</v>
      </c>
      <c r="C483" s="60" t="s">
        <v>98</v>
      </c>
      <c r="D483" s="60" t="s">
        <v>193</v>
      </c>
      <c r="E483" s="60">
        <v>3</v>
      </c>
      <c r="F483" s="60" t="s">
        <v>1</v>
      </c>
      <c r="G483" s="72" t="s">
        <v>12</v>
      </c>
      <c r="H483" s="73">
        <v>10160752.263333334</v>
      </c>
      <c r="I483" s="74">
        <v>1</v>
      </c>
      <c r="J483" s="29">
        <v>500</v>
      </c>
      <c r="K483" s="29" t="s">
        <v>124</v>
      </c>
      <c r="L483" s="29">
        <v>25</v>
      </c>
      <c r="M483" s="29"/>
      <c r="N483" s="29"/>
      <c r="O483" s="29"/>
      <c r="P483" s="73">
        <f t="shared" ref="P483:P490" si="35">+I483*H483</f>
        <v>10160752.263333334</v>
      </c>
      <c r="Q483" s="75" t="s">
        <v>52</v>
      </c>
      <c r="S483" s="52">
        <f t="shared" si="33"/>
        <v>15877597.916775201</v>
      </c>
      <c r="T483" s="33"/>
    </row>
    <row r="484" spans="1:20" x14ac:dyDescent="0.25">
      <c r="A484" s="26" t="s">
        <v>81</v>
      </c>
      <c r="B484" s="60" t="s">
        <v>13</v>
      </c>
      <c r="C484" s="60" t="s">
        <v>98</v>
      </c>
      <c r="D484" s="60" t="s">
        <v>194</v>
      </c>
      <c r="E484" s="60">
        <v>3</v>
      </c>
      <c r="F484" s="60" t="s">
        <v>1</v>
      </c>
      <c r="G484" s="72" t="s">
        <v>12</v>
      </c>
      <c r="H484" s="73">
        <v>19537145.66333333</v>
      </c>
      <c r="I484" s="74">
        <v>1</v>
      </c>
      <c r="J484" s="29">
        <v>1000</v>
      </c>
      <c r="K484" s="29" t="s">
        <v>124</v>
      </c>
      <c r="L484" s="29">
        <v>25</v>
      </c>
      <c r="M484" s="29"/>
      <c r="N484" s="29"/>
      <c r="O484" s="29"/>
      <c r="P484" s="73">
        <f t="shared" si="35"/>
        <v>19537145.66333333</v>
      </c>
      <c r="Q484" s="75" t="s">
        <v>52</v>
      </c>
      <c r="S484" s="52">
        <f t="shared" si="33"/>
        <v>30529525.299351193</v>
      </c>
      <c r="T484" s="33"/>
    </row>
    <row r="485" spans="1:20" x14ac:dyDescent="0.25">
      <c r="A485" s="26" t="s">
        <v>81</v>
      </c>
      <c r="B485" s="60" t="s">
        <v>13</v>
      </c>
      <c r="C485" s="60" t="s">
        <v>98</v>
      </c>
      <c r="D485" s="60" t="s">
        <v>195</v>
      </c>
      <c r="E485" s="60">
        <v>3</v>
      </c>
      <c r="F485" s="60" t="s">
        <v>1</v>
      </c>
      <c r="G485" s="72" t="s">
        <v>12</v>
      </c>
      <c r="H485" s="73">
        <v>28005037.530000001</v>
      </c>
      <c r="I485" s="74">
        <v>1</v>
      </c>
      <c r="J485" s="29">
        <v>1500</v>
      </c>
      <c r="K485" s="29" t="s">
        <v>124</v>
      </c>
      <c r="L485" s="29">
        <v>25</v>
      </c>
      <c r="M485" s="29"/>
      <c r="N485" s="29"/>
      <c r="O485" s="29"/>
      <c r="P485" s="73">
        <f t="shared" si="35"/>
        <v>28005037.530000001</v>
      </c>
      <c r="Q485" s="75" t="s">
        <v>52</v>
      </c>
      <c r="S485" s="52">
        <f t="shared" si="33"/>
        <v>43761791.845879212</v>
      </c>
      <c r="T485" s="33"/>
    </row>
    <row r="486" spans="1:20" x14ac:dyDescent="0.25">
      <c r="A486" s="26" t="s">
        <v>81</v>
      </c>
      <c r="B486" s="60" t="s">
        <v>13</v>
      </c>
      <c r="C486" s="60" t="s">
        <v>98</v>
      </c>
      <c r="D486" s="60" t="s">
        <v>196</v>
      </c>
      <c r="E486" s="60">
        <v>3</v>
      </c>
      <c r="F486" s="60" t="s">
        <v>1</v>
      </c>
      <c r="G486" s="72" t="s">
        <v>12</v>
      </c>
      <c r="H486" s="73">
        <v>41035957.530000001</v>
      </c>
      <c r="I486" s="74">
        <v>1</v>
      </c>
      <c r="J486" s="29">
        <v>2500</v>
      </c>
      <c r="K486" s="29" t="s">
        <v>124</v>
      </c>
      <c r="L486" s="29">
        <v>25</v>
      </c>
      <c r="M486" s="29"/>
      <c r="N486" s="29"/>
      <c r="O486" s="29"/>
      <c r="P486" s="73">
        <f t="shared" si="35"/>
        <v>41035957.530000001</v>
      </c>
      <c r="Q486" s="75" t="s">
        <v>52</v>
      </c>
      <c r="S486" s="52">
        <f t="shared" si="33"/>
        <v>64124428.674679205</v>
      </c>
      <c r="T486" s="33"/>
    </row>
    <row r="487" spans="1:20" x14ac:dyDescent="0.25">
      <c r="A487" s="26" t="s">
        <v>81</v>
      </c>
      <c r="B487" s="60" t="s">
        <v>13</v>
      </c>
      <c r="C487" s="60" t="s">
        <v>98</v>
      </c>
      <c r="D487" s="60" t="s">
        <v>197</v>
      </c>
      <c r="E487" s="60">
        <v>3</v>
      </c>
      <c r="F487" s="60" t="s">
        <v>1</v>
      </c>
      <c r="G487" s="72" t="s">
        <v>12</v>
      </c>
      <c r="H487" s="73">
        <v>9754625.5966666657</v>
      </c>
      <c r="I487" s="74">
        <v>1</v>
      </c>
      <c r="J487" s="29">
        <v>500</v>
      </c>
      <c r="K487" s="29" t="s">
        <v>124</v>
      </c>
      <c r="L487" s="29">
        <v>15</v>
      </c>
      <c r="M487" s="29"/>
      <c r="N487" s="29"/>
      <c r="O487" s="29"/>
      <c r="P487" s="73">
        <f t="shared" si="35"/>
        <v>9754625.5966666657</v>
      </c>
      <c r="Q487" s="75" t="s">
        <v>52</v>
      </c>
      <c r="S487" s="52">
        <f t="shared" si="33"/>
        <v>15242968.142375197</v>
      </c>
      <c r="T487" s="33"/>
    </row>
    <row r="488" spans="1:20" x14ac:dyDescent="0.25">
      <c r="A488" s="26" t="s">
        <v>81</v>
      </c>
      <c r="B488" s="60" t="s">
        <v>13</v>
      </c>
      <c r="C488" s="60" t="s">
        <v>98</v>
      </c>
      <c r="D488" s="60" t="s">
        <v>198</v>
      </c>
      <c r="E488" s="60">
        <v>3</v>
      </c>
      <c r="F488" s="60" t="s">
        <v>1</v>
      </c>
      <c r="G488" s="72" t="s">
        <v>12</v>
      </c>
      <c r="H488" s="73">
        <v>18724892.329999998</v>
      </c>
      <c r="I488" s="74">
        <v>1</v>
      </c>
      <c r="J488" s="29">
        <v>1000</v>
      </c>
      <c r="K488" s="29" t="s">
        <v>124</v>
      </c>
      <c r="L488" s="29">
        <v>15</v>
      </c>
      <c r="M488" s="29"/>
      <c r="N488" s="29"/>
      <c r="O488" s="29"/>
      <c r="P488" s="73">
        <f t="shared" si="35"/>
        <v>18724892.329999998</v>
      </c>
      <c r="Q488" s="75" t="s">
        <v>52</v>
      </c>
      <c r="S488" s="52">
        <f t="shared" si="33"/>
        <v>29260265.750551201</v>
      </c>
      <c r="T488" s="33"/>
    </row>
    <row r="489" spans="1:20" x14ac:dyDescent="0.25">
      <c r="A489" s="26" t="s">
        <v>81</v>
      </c>
      <c r="B489" s="60" t="s">
        <v>13</v>
      </c>
      <c r="C489" s="60" t="s">
        <v>98</v>
      </c>
      <c r="D489" s="60" t="s">
        <v>199</v>
      </c>
      <c r="E489" s="60">
        <v>3</v>
      </c>
      <c r="F489" s="60" t="s">
        <v>1</v>
      </c>
      <c r="G489" s="72" t="s">
        <v>12</v>
      </c>
      <c r="H489" s="73">
        <v>26786657.530000001</v>
      </c>
      <c r="I489" s="74">
        <v>1</v>
      </c>
      <c r="J489" s="29">
        <v>1500</v>
      </c>
      <c r="K489" s="29" t="s">
        <v>124</v>
      </c>
      <c r="L489" s="29">
        <v>15</v>
      </c>
      <c r="M489" s="29"/>
      <c r="N489" s="29"/>
      <c r="O489" s="29"/>
      <c r="P489" s="73">
        <f t="shared" si="35"/>
        <v>26786657.530000001</v>
      </c>
      <c r="Q489" s="75" t="s">
        <v>52</v>
      </c>
      <c r="S489" s="52">
        <f t="shared" si="33"/>
        <v>41857902.522679202</v>
      </c>
      <c r="T489" s="33"/>
    </row>
    <row r="490" spans="1:20" x14ac:dyDescent="0.25">
      <c r="A490" s="26" t="s">
        <v>81</v>
      </c>
      <c r="B490" s="60" t="s">
        <v>13</v>
      </c>
      <c r="C490" s="60" t="s">
        <v>98</v>
      </c>
      <c r="D490" s="60" t="s">
        <v>200</v>
      </c>
      <c r="E490" s="60">
        <v>3</v>
      </c>
      <c r="F490" s="60" t="s">
        <v>1</v>
      </c>
      <c r="G490" s="72" t="s">
        <v>12</v>
      </c>
      <c r="H490" s="73">
        <v>39005324.196666665</v>
      </c>
      <c r="I490" s="74">
        <v>1</v>
      </c>
      <c r="J490" s="29">
        <v>2500</v>
      </c>
      <c r="K490" s="29" t="s">
        <v>124</v>
      </c>
      <c r="L490" s="29">
        <v>15</v>
      </c>
      <c r="M490" s="29"/>
      <c r="N490" s="29"/>
      <c r="O490" s="29"/>
      <c r="P490" s="73">
        <f t="shared" si="35"/>
        <v>39005324.196666665</v>
      </c>
      <c r="Q490" s="75" t="s">
        <v>52</v>
      </c>
      <c r="S490" s="52">
        <f t="shared" si="33"/>
        <v>60951279.802679181</v>
      </c>
      <c r="T490" s="33"/>
    </row>
    <row r="491" spans="1:20" x14ac:dyDescent="0.25">
      <c r="A491" s="26" t="s">
        <v>81</v>
      </c>
      <c r="B491" s="60" t="s">
        <v>13</v>
      </c>
      <c r="C491" s="60" t="s">
        <v>99</v>
      </c>
      <c r="D491" s="60" t="s">
        <v>185</v>
      </c>
      <c r="E491" s="60">
        <v>1</v>
      </c>
      <c r="F491" s="60" t="s">
        <v>1</v>
      </c>
      <c r="G491" s="72" t="s">
        <v>12</v>
      </c>
      <c r="H491" s="73">
        <v>5626782.5633333335</v>
      </c>
      <c r="I491" s="74">
        <v>1</v>
      </c>
      <c r="J491" s="29">
        <v>500</v>
      </c>
      <c r="K491" s="29" t="s">
        <v>124</v>
      </c>
      <c r="L491" s="29">
        <v>25</v>
      </c>
      <c r="M491" s="29"/>
      <c r="N491" s="29"/>
      <c r="O491" s="29"/>
      <c r="P491" s="73">
        <f t="shared" si="30"/>
        <v>5626782.5633333335</v>
      </c>
      <c r="Q491" s="75" t="s">
        <v>52</v>
      </c>
      <c r="S491" s="52">
        <f t="shared" si="33"/>
        <v>8792635.5047672</v>
      </c>
      <c r="T491" s="33"/>
    </row>
    <row r="492" spans="1:20" x14ac:dyDescent="0.25">
      <c r="A492" s="26" t="s">
        <v>81</v>
      </c>
      <c r="B492" s="60" t="s">
        <v>13</v>
      </c>
      <c r="C492" s="60" t="s">
        <v>99</v>
      </c>
      <c r="D492" s="60" t="s">
        <v>186</v>
      </c>
      <c r="E492" s="60">
        <v>1</v>
      </c>
      <c r="F492" s="60" t="s">
        <v>1</v>
      </c>
      <c r="G492" s="72" t="s">
        <v>12</v>
      </c>
      <c r="H492" s="73">
        <v>11004726.563333333</v>
      </c>
      <c r="I492" s="74">
        <v>1</v>
      </c>
      <c r="J492" s="29">
        <v>1000</v>
      </c>
      <c r="K492" s="29" t="s">
        <v>124</v>
      </c>
      <c r="L492" s="29">
        <v>25</v>
      </c>
      <c r="M492" s="29"/>
      <c r="N492" s="29"/>
      <c r="O492" s="29"/>
      <c r="P492" s="73">
        <f t="shared" si="30"/>
        <v>11004726.563333333</v>
      </c>
      <c r="Q492" s="75" t="s">
        <v>52</v>
      </c>
      <c r="S492" s="52">
        <f t="shared" si="33"/>
        <v>17196425.916927196</v>
      </c>
      <c r="T492" s="33"/>
    </row>
    <row r="493" spans="1:20" x14ac:dyDescent="0.25">
      <c r="A493" s="26" t="s">
        <v>81</v>
      </c>
      <c r="B493" s="60" t="s">
        <v>13</v>
      </c>
      <c r="C493" s="60" t="s">
        <v>99</v>
      </c>
      <c r="D493" s="60" t="s">
        <v>187</v>
      </c>
      <c r="E493" s="60">
        <v>1</v>
      </c>
      <c r="F493" s="60" t="s">
        <v>1</v>
      </c>
      <c r="G493" s="72" t="s">
        <v>12</v>
      </c>
      <c r="H493" s="73">
        <v>15336010.979999999</v>
      </c>
      <c r="I493" s="74">
        <v>1</v>
      </c>
      <c r="J493" s="29">
        <v>1500</v>
      </c>
      <c r="K493" s="29" t="s">
        <v>124</v>
      </c>
      <c r="L493" s="29">
        <v>25</v>
      </c>
      <c r="M493" s="29"/>
      <c r="N493" s="29"/>
      <c r="O493" s="29"/>
      <c r="P493" s="73">
        <f t="shared" si="30"/>
        <v>15336010.979999999</v>
      </c>
      <c r="Q493" s="75" t="s">
        <v>52</v>
      </c>
      <c r="S493" s="52">
        <f t="shared" si="33"/>
        <v>23964664.197787203</v>
      </c>
      <c r="T493" s="33"/>
    </row>
    <row r="494" spans="1:20" x14ac:dyDescent="0.25">
      <c r="A494" s="26" t="s">
        <v>81</v>
      </c>
      <c r="B494" s="60" t="s">
        <v>13</v>
      </c>
      <c r="C494" s="60" t="s">
        <v>99</v>
      </c>
      <c r="D494" s="60" t="s">
        <v>188</v>
      </c>
      <c r="E494" s="60">
        <v>1</v>
      </c>
      <c r="F494" s="60" t="s">
        <v>1</v>
      </c>
      <c r="G494" s="72" t="s">
        <v>12</v>
      </c>
      <c r="H494" s="73">
        <v>20988136.23</v>
      </c>
      <c r="I494" s="74">
        <v>1</v>
      </c>
      <c r="J494" s="29">
        <v>2500</v>
      </c>
      <c r="K494" s="29" t="s">
        <v>124</v>
      </c>
      <c r="L494" s="29">
        <v>25</v>
      </c>
      <c r="M494" s="29"/>
      <c r="N494" s="29"/>
      <c r="O494" s="29"/>
      <c r="P494" s="73">
        <f t="shared" si="30"/>
        <v>20988136.23</v>
      </c>
      <c r="Q494" s="75" t="s">
        <v>52</v>
      </c>
      <c r="S494" s="52">
        <f t="shared" si="33"/>
        <v>32796901.198447198</v>
      </c>
      <c r="T494" s="33"/>
    </row>
    <row r="495" spans="1:20" x14ac:dyDescent="0.25">
      <c r="A495" s="26" t="s">
        <v>81</v>
      </c>
      <c r="B495" s="60" t="s">
        <v>13</v>
      </c>
      <c r="C495" s="60" t="s">
        <v>99</v>
      </c>
      <c r="D495" s="60" t="s">
        <v>189</v>
      </c>
      <c r="E495" s="60">
        <v>1</v>
      </c>
      <c r="F495" s="60" t="s">
        <v>1</v>
      </c>
      <c r="G495" s="72" t="s">
        <v>12</v>
      </c>
      <c r="H495" s="73">
        <v>5626782.5633333335</v>
      </c>
      <c r="I495" s="74">
        <v>1</v>
      </c>
      <c r="J495" s="29">
        <v>500</v>
      </c>
      <c r="K495" s="29" t="s">
        <v>124</v>
      </c>
      <c r="L495" s="29">
        <v>15</v>
      </c>
      <c r="M495" s="29"/>
      <c r="N495" s="29"/>
      <c r="O495" s="29"/>
      <c r="P495" s="73">
        <f t="shared" si="30"/>
        <v>5626782.5633333335</v>
      </c>
      <c r="Q495" s="75" t="s">
        <v>52</v>
      </c>
      <c r="S495" s="52">
        <f t="shared" si="33"/>
        <v>8792635.5047672</v>
      </c>
      <c r="T495" s="33"/>
    </row>
    <row r="496" spans="1:20" x14ac:dyDescent="0.25">
      <c r="A496" s="26" t="s">
        <v>81</v>
      </c>
      <c r="B496" s="60" t="s">
        <v>13</v>
      </c>
      <c r="C496" s="60" t="s">
        <v>99</v>
      </c>
      <c r="D496" s="60" t="s">
        <v>190</v>
      </c>
      <c r="E496" s="60">
        <v>1</v>
      </c>
      <c r="F496" s="60" t="s">
        <v>1</v>
      </c>
      <c r="G496" s="72" t="s">
        <v>12</v>
      </c>
      <c r="H496" s="73">
        <v>11004726.563333333</v>
      </c>
      <c r="I496" s="74">
        <v>1</v>
      </c>
      <c r="J496" s="29">
        <v>1000</v>
      </c>
      <c r="K496" s="29" t="s">
        <v>124</v>
      </c>
      <c r="L496" s="29">
        <v>15</v>
      </c>
      <c r="M496" s="29"/>
      <c r="N496" s="29"/>
      <c r="O496" s="29"/>
      <c r="P496" s="73">
        <f t="shared" si="30"/>
        <v>11004726.563333333</v>
      </c>
      <c r="Q496" s="75" t="s">
        <v>52</v>
      </c>
      <c r="S496" s="52">
        <f t="shared" si="33"/>
        <v>17196425.916927196</v>
      </c>
      <c r="T496" s="33"/>
    </row>
    <row r="497" spans="1:20" x14ac:dyDescent="0.25">
      <c r="A497" s="26" t="s">
        <v>81</v>
      </c>
      <c r="B497" s="60" t="s">
        <v>13</v>
      </c>
      <c r="C497" s="60" t="s">
        <v>99</v>
      </c>
      <c r="D497" s="60" t="s">
        <v>191</v>
      </c>
      <c r="E497" s="60">
        <v>1</v>
      </c>
      <c r="F497" s="60" t="s">
        <v>1</v>
      </c>
      <c r="G497" s="72" t="s">
        <v>12</v>
      </c>
      <c r="H497" s="73">
        <v>15336010.979999999</v>
      </c>
      <c r="I497" s="74">
        <v>1</v>
      </c>
      <c r="J497" s="29">
        <v>1500</v>
      </c>
      <c r="K497" s="29" t="s">
        <v>124</v>
      </c>
      <c r="L497" s="29">
        <v>15</v>
      </c>
      <c r="M497" s="29"/>
      <c r="N497" s="29"/>
      <c r="O497" s="29"/>
      <c r="P497" s="73">
        <f t="shared" si="30"/>
        <v>15336010.979999999</v>
      </c>
      <c r="Q497" s="75" t="s">
        <v>52</v>
      </c>
      <c r="S497" s="52">
        <f t="shared" si="33"/>
        <v>23964664.197787203</v>
      </c>
      <c r="T497" s="33"/>
    </row>
    <row r="498" spans="1:20" x14ac:dyDescent="0.25">
      <c r="A498" s="26" t="s">
        <v>81</v>
      </c>
      <c r="B498" s="60" t="s">
        <v>13</v>
      </c>
      <c r="C498" s="60" t="s">
        <v>99</v>
      </c>
      <c r="D498" s="60" t="s">
        <v>192</v>
      </c>
      <c r="E498" s="60">
        <v>1</v>
      </c>
      <c r="F498" s="60" t="s">
        <v>1</v>
      </c>
      <c r="G498" s="72" t="s">
        <v>12</v>
      </c>
      <c r="H498" s="73">
        <v>20988136.23</v>
      </c>
      <c r="I498" s="74">
        <v>1</v>
      </c>
      <c r="J498" s="29">
        <v>2500</v>
      </c>
      <c r="K498" s="29" t="s">
        <v>124</v>
      </c>
      <c r="L498" s="29">
        <v>15</v>
      </c>
      <c r="M498" s="29"/>
      <c r="N498" s="29"/>
      <c r="O498" s="29"/>
      <c r="P498" s="73">
        <f t="shared" si="30"/>
        <v>20988136.23</v>
      </c>
      <c r="Q498" s="75" t="s">
        <v>52</v>
      </c>
      <c r="S498" s="52">
        <f t="shared" si="33"/>
        <v>32796901.198447198</v>
      </c>
      <c r="T498" s="33"/>
    </row>
    <row r="499" spans="1:20" x14ac:dyDescent="0.25">
      <c r="A499" s="26" t="s">
        <v>81</v>
      </c>
      <c r="B499" s="60" t="s">
        <v>13</v>
      </c>
      <c r="C499" s="60" t="s">
        <v>99</v>
      </c>
      <c r="D499" s="60" t="s">
        <v>193</v>
      </c>
      <c r="E499" s="60">
        <v>2</v>
      </c>
      <c r="F499" s="60" t="s">
        <v>1</v>
      </c>
      <c r="G499" s="72" t="s">
        <v>12</v>
      </c>
      <c r="H499" s="73">
        <v>6468003.7633333327</v>
      </c>
      <c r="I499" s="74">
        <v>1</v>
      </c>
      <c r="J499" s="29">
        <v>500</v>
      </c>
      <c r="K499" s="29" t="s">
        <v>124</v>
      </c>
      <c r="L499" s="29">
        <v>25</v>
      </c>
      <c r="M499" s="29"/>
      <c r="N499" s="29"/>
      <c r="O499" s="29"/>
      <c r="P499" s="73">
        <f t="shared" si="30"/>
        <v>6468003.7633333327</v>
      </c>
      <c r="Q499" s="75" t="s">
        <v>52</v>
      </c>
      <c r="S499" s="52">
        <f t="shared" si="33"/>
        <v>10107161.400735199</v>
      </c>
      <c r="T499" s="33"/>
    </row>
    <row r="500" spans="1:20" x14ac:dyDescent="0.25">
      <c r="A500" s="26" t="s">
        <v>81</v>
      </c>
      <c r="B500" s="60" t="s">
        <v>13</v>
      </c>
      <c r="C500" s="60" t="s">
        <v>99</v>
      </c>
      <c r="D500" s="60" t="s">
        <v>194</v>
      </c>
      <c r="E500" s="60">
        <v>2</v>
      </c>
      <c r="F500" s="60" t="s">
        <v>1</v>
      </c>
      <c r="G500" s="72" t="s">
        <v>12</v>
      </c>
      <c r="H500" s="73">
        <v>12506163.163333332</v>
      </c>
      <c r="I500" s="74">
        <v>1</v>
      </c>
      <c r="J500" s="29">
        <v>1000</v>
      </c>
      <c r="K500" s="29" t="s">
        <v>124</v>
      </c>
      <c r="L500" s="29">
        <v>25</v>
      </c>
      <c r="M500" s="29"/>
      <c r="N500" s="29"/>
      <c r="O500" s="29"/>
      <c r="P500" s="73">
        <f t="shared" si="30"/>
        <v>12506163.163333332</v>
      </c>
      <c r="Q500" s="75" t="s">
        <v>52</v>
      </c>
      <c r="S500" s="52">
        <f t="shared" si="33"/>
        <v>19542630.805551197</v>
      </c>
      <c r="T500" s="33"/>
    </row>
    <row r="501" spans="1:20" x14ac:dyDescent="0.25">
      <c r="A501" s="26" t="s">
        <v>81</v>
      </c>
      <c r="B501" s="60" t="s">
        <v>13</v>
      </c>
      <c r="C501" s="60" t="s">
        <v>99</v>
      </c>
      <c r="D501" s="60" t="s">
        <v>195</v>
      </c>
      <c r="E501" s="60">
        <v>2</v>
      </c>
      <c r="F501" s="60" t="s">
        <v>1</v>
      </c>
      <c r="G501" s="72" t="s">
        <v>12</v>
      </c>
      <c r="H501" s="73">
        <v>17288008.779999997</v>
      </c>
      <c r="I501" s="74">
        <v>1</v>
      </c>
      <c r="J501" s="29">
        <v>1500</v>
      </c>
      <c r="K501" s="29" t="s">
        <v>124</v>
      </c>
      <c r="L501" s="29">
        <v>25</v>
      </c>
      <c r="M501" s="29"/>
      <c r="N501" s="29"/>
      <c r="O501" s="29"/>
      <c r="P501" s="73">
        <f t="shared" si="30"/>
        <v>17288008.779999997</v>
      </c>
      <c r="Q501" s="75" t="s">
        <v>52</v>
      </c>
      <c r="S501" s="52">
        <f t="shared" si="33"/>
        <v>27014934.039979193</v>
      </c>
      <c r="T501" s="33"/>
    </row>
    <row r="502" spans="1:20" x14ac:dyDescent="0.25">
      <c r="A502" s="26" t="s">
        <v>81</v>
      </c>
      <c r="B502" s="60" t="s">
        <v>13</v>
      </c>
      <c r="C502" s="60" t="s">
        <v>99</v>
      </c>
      <c r="D502" s="60" t="s">
        <v>196</v>
      </c>
      <c r="E502" s="60">
        <v>2</v>
      </c>
      <c r="F502" s="60" t="s">
        <v>1</v>
      </c>
      <c r="G502" s="72" t="s">
        <v>12</v>
      </c>
      <c r="H502" s="73">
        <v>22940134.030000001</v>
      </c>
      <c r="I502" s="74">
        <v>1</v>
      </c>
      <c r="J502" s="29">
        <v>2500</v>
      </c>
      <c r="K502" s="29" t="s">
        <v>124</v>
      </c>
      <c r="L502" s="29">
        <v>25</v>
      </c>
      <c r="M502" s="29"/>
      <c r="N502" s="29"/>
      <c r="O502" s="29"/>
      <c r="P502" s="73">
        <f t="shared" si="30"/>
        <v>22940134.030000001</v>
      </c>
      <c r="Q502" s="75" t="s">
        <v>52</v>
      </c>
      <c r="S502" s="52">
        <f t="shared" si="33"/>
        <v>35847171.040639207</v>
      </c>
      <c r="T502" s="33"/>
    </row>
    <row r="503" spans="1:20" x14ac:dyDescent="0.25">
      <c r="A503" s="26" t="s">
        <v>81</v>
      </c>
      <c r="B503" s="60" t="s">
        <v>13</v>
      </c>
      <c r="C503" s="60" t="s">
        <v>99</v>
      </c>
      <c r="D503" s="60" t="s">
        <v>197</v>
      </c>
      <c r="E503" s="60">
        <v>2</v>
      </c>
      <c r="F503" s="60" t="s">
        <v>1</v>
      </c>
      <c r="G503" s="72" t="s">
        <v>12</v>
      </c>
      <c r="H503" s="73">
        <v>6468003.7633333327</v>
      </c>
      <c r="I503" s="74">
        <v>1</v>
      </c>
      <c r="J503" s="29">
        <v>500</v>
      </c>
      <c r="K503" s="29" t="s">
        <v>124</v>
      </c>
      <c r="L503" s="29">
        <v>15</v>
      </c>
      <c r="M503" s="29"/>
      <c r="N503" s="29"/>
      <c r="O503" s="29"/>
      <c r="P503" s="73">
        <f t="shared" ref="P503:P598" si="36">+I503*H503</f>
        <v>6468003.7633333327</v>
      </c>
      <c r="Q503" s="75" t="s">
        <v>52</v>
      </c>
      <c r="S503" s="52">
        <f t="shared" si="33"/>
        <v>10107161.400735199</v>
      </c>
      <c r="T503" s="33"/>
    </row>
    <row r="504" spans="1:20" x14ac:dyDescent="0.25">
      <c r="A504" s="26" t="s">
        <v>81</v>
      </c>
      <c r="B504" s="60" t="s">
        <v>13</v>
      </c>
      <c r="C504" s="60" t="s">
        <v>99</v>
      </c>
      <c r="D504" s="60" t="s">
        <v>198</v>
      </c>
      <c r="E504" s="60">
        <v>2</v>
      </c>
      <c r="F504" s="60" t="s">
        <v>1</v>
      </c>
      <c r="G504" s="72" t="s">
        <v>12</v>
      </c>
      <c r="H504" s="73">
        <v>12506163.163333332</v>
      </c>
      <c r="I504" s="74">
        <v>1</v>
      </c>
      <c r="J504" s="29">
        <v>1000</v>
      </c>
      <c r="K504" s="29" t="s">
        <v>124</v>
      </c>
      <c r="L504" s="29">
        <v>15</v>
      </c>
      <c r="M504" s="29"/>
      <c r="N504" s="29"/>
      <c r="O504" s="29"/>
      <c r="P504" s="73">
        <f t="shared" si="36"/>
        <v>12506163.163333332</v>
      </c>
      <c r="Q504" s="75" t="s">
        <v>52</v>
      </c>
      <c r="S504" s="52">
        <f t="shared" si="33"/>
        <v>19542630.805551197</v>
      </c>
      <c r="T504" s="33"/>
    </row>
    <row r="505" spans="1:20" x14ac:dyDescent="0.25">
      <c r="A505" s="26" t="s">
        <v>81</v>
      </c>
      <c r="B505" s="60" t="s">
        <v>13</v>
      </c>
      <c r="C505" s="60" t="s">
        <v>99</v>
      </c>
      <c r="D505" s="60" t="s">
        <v>199</v>
      </c>
      <c r="E505" s="60">
        <v>2</v>
      </c>
      <c r="F505" s="60" t="s">
        <v>1</v>
      </c>
      <c r="G505" s="72" t="s">
        <v>12</v>
      </c>
      <c r="H505" s="73">
        <v>17288008.779999997</v>
      </c>
      <c r="I505" s="74">
        <v>1</v>
      </c>
      <c r="J505" s="29">
        <v>1500</v>
      </c>
      <c r="K505" s="29" t="s">
        <v>124</v>
      </c>
      <c r="L505" s="29">
        <v>15</v>
      </c>
      <c r="M505" s="29"/>
      <c r="N505" s="29"/>
      <c r="O505" s="29"/>
      <c r="P505" s="73">
        <f t="shared" si="36"/>
        <v>17288008.779999997</v>
      </c>
      <c r="Q505" s="75" t="s">
        <v>52</v>
      </c>
      <c r="S505" s="52">
        <f t="shared" si="33"/>
        <v>27014934.039979193</v>
      </c>
      <c r="T505" s="33"/>
    </row>
    <row r="506" spans="1:20" x14ac:dyDescent="0.25">
      <c r="A506" s="26" t="s">
        <v>81</v>
      </c>
      <c r="B506" s="60" t="s">
        <v>13</v>
      </c>
      <c r="C506" s="60" t="s">
        <v>99</v>
      </c>
      <c r="D506" s="60" t="s">
        <v>200</v>
      </c>
      <c r="E506" s="60">
        <v>2</v>
      </c>
      <c r="F506" s="60" t="s">
        <v>1</v>
      </c>
      <c r="G506" s="72" t="s">
        <v>12</v>
      </c>
      <c r="H506" s="73">
        <v>22940134.030000001</v>
      </c>
      <c r="I506" s="74">
        <v>1</v>
      </c>
      <c r="J506" s="29">
        <v>2500</v>
      </c>
      <c r="K506" s="29" t="s">
        <v>124</v>
      </c>
      <c r="L506" s="29">
        <v>15</v>
      </c>
      <c r="M506" s="29"/>
      <c r="N506" s="29"/>
      <c r="O506" s="29"/>
      <c r="P506" s="73">
        <f t="shared" si="36"/>
        <v>22940134.030000001</v>
      </c>
      <c r="Q506" s="75" t="s">
        <v>52</v>
      </c>
      <c r="S506" s="52">
        <f t="shared" si="33"/>
        <v>35847171.040639207</v>
      </c>
      <c r="T506" s="33"/>
    </row>
    <row r="507" spans="1:20" x14ac:dyDescent="0.25">
      <c r="A507" s="26" t="s">
        <v>81</v>
      </c>
      <c r="B507" s="60" t="s">
        <v>13</v>
      </c>
      <c r="C507" s="60" t="s">
        <v>99</v>
      </c>
      <c r="D507" s="60" t="s">
        <v>193</v>
      </c>
      <c r="E507" s="60">
        <v>3</v>
      </c>
      <c r="F507" s="60" t="s">
        <v>1</v>
      </c>
      <c r="G507" s="72" t="s">
        <v>12</v>
      </c>
      <c r="H507" s="73">
        <v>6468003.7633333327</v>
      </c>
      <c r="I507" s="74">
        <v>1</v>
      </c>
      <c r="J507" s="29">
        <v>500</v>
      </c>
      <c r="K507" s="29" t="s">
        <v>124</v>
      </c>
      <c r="L507" s="29">
        <v>25</v>
      </c>
      <c r="M507" s="29"/>
      <c r="N507" s="29"/>
      <c r="O507" s="29"/>
      <c r="P507" s="73">
        <f t="shared" si="36"/>
        <v>6468003.7633333327</v>
      </c>
      <c r="Q507" s="75" t="s">
        <v>52</v>
      </c>
      <c r="S507" s="52">
        <f t="shared" si="33"/>
        <v>10107161.400735199</v>
      </c>
      <c r="T507" s="33"/>
    </row>
    <row r="508" spans="1:20" x14ac:dyDescent="0.25">
      <c r="A508" s="26" t="s">
        <v>81</v>
      </c>
      <c r="B508" s="60" t="s">
        <v>13</v>
      </c>
      <c r="C508" s="60" t="s">
        <v>99</v>
      </c>
      <c r="D508" s="60" t="s">
        <v>194</v>
      </c>
      <c r="E508" s="60">
        <v>3</v>
      </c>
      <c r="F508" s="60" t="s">
        <v>1</v>
      </c>
      <c r="G508" s="72" t="s">
        <v>12</v>
      </c>
      <c r="H508" s="73">
        <v>12506163.163333332</v>
      </c>
      <c r="I508" s="74">
        <v>1</v>
      </c>
      <c r="J508" s="29">
        <v>1000</v>
      </c>
      <c r="K508" s="29" t="s">
        <v>124</v>
      </c>
      <c r="L508" s="29">
        <v>25</v>
      </c>
      <c r="M508" s="29"/>
      <c r="N508" s="29"/>
      <c r="O508" s="29"/>
      <c r="P508" s="73">
        <f t="shared" si="36"/>
        <v>12506163.163333332</v>
      </c>
      <c r="Q508" s="75" t="s">
        <v>52</v>
      </c>
      <c r="S508" s="52">
        <f t="shared" ref="S508:S562" si="37">+$T$155*H508*12/5*0.85</f>
        <v>19542630.805551197</v>
      </c>
      <c r="T508" s="33"/>
    </row>
    <row r="509" spans="1:20" x14ac:dyDescent="0.25">
      <c r="A509" s="26" t="s">
        <v>81</v>
      </c>
      <c r="B509" s="60" t="s">
        <v>13</v>
      </c>
      <c r="C509" s="60" t="s">
        <v>99</v>
      </c>
      <c r="D509" s="60" t="s">
        <v>195</v>
      </c>
      <c r="E509" s="60">
        <v>3</v>
      </c>
      <c r="F509" s="60" t="s">
        <v>1</v>
      </c>
      <c r="G509" s="72" t="s">
        <v>12</v>
      </c>
      <c r="H509" s="73">
        <v>17288008.779999997</v>
      </c>
      <c r="I509" s="74">
        <v>1</v>
      </c>
      <c r="J509" s="29">
        <v>1500</v>
      </c>
      <c r="K509" s="29" t="s">
        <v>124</v>
      </c>
      <c r="L509" s="29">
        <v>25</v>
      </c>
      <c r="M509" s="29"/>
      <c r="N509" s="29"/>
      <c r="O509" s="29"/>
      <c r="P509" s="73">
        <f t="shared" si="36"/>
        <v>17288008.779999997</v>
      </c>
      <c r="Q509" s="75" t="s">
        <v>52</v>
      </c>
      <c r="S509" s="52">
        <f t="shared" si="37"/>
        <v>27014934.039979193</v>
      </c>
      <c r="T509" s="33"/>
    </row>
    <row r="510" spans="1:20" x14ac:dyDescent="0.25">
      <c r="A510" s="26" t="s">
        <v>81</v>
      </c>
      <c r="B510" s="60" t="s">
        <v>13</v>
      </c>
      <c r="C510" s="60" t="s">
        <v>99</v>
      </c>
      <c r="D510" s="60" t="s">
        <v>196</v>
      </c>
      <c r="E510" s="60">
        <v>3</v>
      </c>
      <c r="F510" s="60" t="s">
        <v>1</v>
      </c>
      <c r="G510" s="72" t="s">
        <v>12</v>
      </c>
      <c r="H510" s="73">
        <v>22940134.030000001</v>
      </c>
      <c r="I510" s="74">
        <v>1</v>
      </c>
      <c r="J510" s="29">
        <v>2500</v>
      </c>
      <c r="K510" s="29" t="s">
        <v>124</v>
      </c>
      <c r="L510" s="29">
        <v>25</v>
      </c>
      <c r="M510" s="29"/>
      <c r="N510" s="29"/>
      <c r="O510" s="29"/>
      <c r="P510" s="73">
        <f t="shared" si="36"/>
        <v>22940134.030000001</v>
      </c>
      <c r="Q510" s="75" t="s">
        <v>52</v>
      </c>
      <c r="S510" s="52">
        <f t="shared" si="37"/>
        <v>35847171.040639207</v>
      </c>
      <c r="T510" s="33"/>
    </row>
    <row r="511" spans="1:20" x14ac:dyDescent="0.25">
      <c r="A511" s="26" t="s">
        <v>81</v>
      </c>
      <c r="B511" s="60" t="s">
        <v>13</v>
      </c>
      <c r="C511" s="60" t="s">
        <v>99</v>
      </c>
      <c r="D511" s="60" t="s">
        <v>197</v>
      </c>
      <c r="E511" s="60">
        <v>3</v>
      </c>
      <c r="F511" s="60" t="s">
        <v>1</v>
      </c>
      <c r="G511" s="72" t="s">
        <v>12</v>
      </c>
      <c r="H511" s="73">
        <v>6468003.7633333327</v>
      </c>
      <c r="I511" s="74">
        <v>1</v>
      </c>
      <c r="J511" s="29">
        <v>500</v>
      </c>
      <c r="K511" s="29" t="s">
        <v>124</v>
      </c>
      <c r="L511" s="29">
        <v>15</v>
      </c>
      <c r="M511" s="29"/>
      <c r="N511" s="29"/>
      <c r="O511" s="29"/>
      <c r="P511" s="73">
        <f t="shared" ref="P511:P514" si="38">+I511*H511</f>
        <v>6468003.7633333327</v>
      </c>
      <c r="Q511" s="75" t="s">
        <v>52</v>
      </c>
      <c r="S511" s="52">
        <f t="shared" si="37"/>
        <v>10107161.400735199</v>
      </c>
      <c r="T511" s="33"/>
    </row>
    <row r="512" spans="1:20" x14ac:dyDescent="0.25">
      <c r="A512" s="26" t="s">
        <v>81</v>
      </c>
      <c r="B512" s="60" t="s">
        <v>13</v>
      </c>
      <c r="C512" s="60" t="s">
        <v>99</v>
      </c>
      <c r="D512" s="60" t="s">
        <v>198</v>
      </c>
      <c r="E512" s="60">
        <v>3</v>
      </c>
      <c r="F512" s="60" t="s">
        <v>1</v>
      </c>
      <c r="G512" s="72" t="s">
        <v>12</v>
      </c>
      <c r="H512" s="73">
        <v>12506163.163333332</v>
      </c>
      <c r="I512" s="74">
        <v>1</v>
      </c>
      <c r="J512" s="29">
        <v>1000</v>
      </c>
      <c r="K512" s="29" t="s">
        <v>124</v>
      </c>
      <c r="L512" s="29">
        <v>15</v>
      </c>
      <c r="M512" s="29"/>
      <c r="N512" s="29"/>
      <c r="O512" s="29"/>
      <c r="P512" s="73">
        <f t="shared" si="38"/>
        <v>12506163.163333332</v>
      </c>
      <c r="Q512" s="75" t="s">
        <v>52</v>
      </c>
      <c r="S512" s="52">
        <f t="shared" si="37"/>
        <v>19542630.805551197</v>
      </c>
      <c r="T512" s="33"/>
    </row>
    <row r="513" spans="1:20" x14ac:dyDescent="0.25">
      <c r="A513" s="26" t="s">
        <v>81</v>
      </c>
      <c r="B513" s="60" t="s">
        <v>13</v>
      </c>
      <c r="C513" s="60" t="s">
        <v>99</v>
      </c>
      <c r="D513" s="60" t="s">
        <v>199</v>
      </c>
      <c r="E513" s="60">
        <v>3</v>
      </c>
      <c r="F513" s="60" t="s">
        <v>1</v>
      </c>
      <c r="G513" s="72" t="s">
        <v>12</v>
      </c>
      <c r="H513" s="73">
        <v>17288008.779999997</v>
      </c>
      <c r="I513" s="74">
        <v>1</v>
      </c>
      <c r="J513" s="29">
        <v>1500</v>
      </c>
      <c r="K513" s="29" t="s">
        <v>124</v>
      </c>
      <c r="L513" s="29">
        <v>15</v>
      </c>
      <c r="M513" s="29"/>
      <c r="N513" s="29"/>
      <c r="O513" s="29"/>
      <c r="P513" s="73">
        <f t="shared" si="38"/>
        <v>17288008.779999997</v>
      </c>
      <c r="Q513" s="75" t="s">
        <v>52</v>
      </c>
      <c r="S513" s="52">
        <f t="shared" si="37"/>
        <v>27014934.039979193</v>
      </c>
      <c r="T513" s="33"/>
    </row>
    <row r="514" spans="1:20" x14ac:dyDescent="0.25">
      <c r="A514" s="26" t="s">
        <v>81</v>
      </c>
      <c r="B514" s="60" t="s">
        <v>13</v>
      </c>
      <c r="C514" s="60" t="s">
        <v>99</v>
      </c>
      <c r="D514" s="60" t="s">
        <v>200</v>
      </c>
      <c r="E514" s="60">
        <v>3</v>
      </c>
      <c r="F514" s="60" t="s">
        <v>1</v>
      </c>
      <c r="G514" s="72" t="s">
        <v>12</v>
      </c>
      <c r="H514" s="73">
        <v>22940134.030000001</v>
      </c>
      <c r="I514" s="74">
        <v>1</v>
      </c>
      <c r="J514" s="29">
        <v>2500</v>
      </c>
      <c r="K514" s="29" t="s">
        <v>124</v>
      </c>
      <c r="L514" s="29">
        <v>15</v>
      </c>
      <c r="M514" s="29"/>
      <c r="N514" s="29"/>
      <c r="O514" s="29"/>
      <c r="P514" s="73">
        <f t="shared" si="38"/>
        <v>22940134.030000001</v>
      </c>
      <c r="Q514" s="75" t="s">
        <v>52</v>
      </c>
      <c r="S514" s="52">
        <f t="shared" si="37"/>
        <v>35847171.040639207</v>
      </c>
      <c r="T514" s="33"/>
    </row>
    <row r="515" spans="1:20" x14ac:dyDescent="0.25">
      <c r="A515" s="26" t="s">
        <v>81</v>
      </c>
      <c r="B515" s="60" t="s">
        <v>13</v>
      </c>
      <c r="C515" s="60" t="s">
        <v>100</v>
      </c>
      <c r="D515" s="60" t="s">
        <v>185</v>
      </c>
      <c r="E515" s="60">
        <v>1</v>
      </c>
      <c r="F515" s="60" t="s">
        <v>1</v>
      </c>
      <c r="G515" s="72" t="s">
        <v>12</v>
      </c>
      <c r="H515" s="73">
        <v>6691474.0949999997</v>
      </c>
      <c r="I515" s="74">
        <v>1</v>
      </c>
      <c r="J515" s="29">
        <v>500</v>
      </c>
      <c r="K515" s="29" t="s">
        <v>124</v>
      </c>
      <c r="L515" s="29">
        <v>25</v>
      </c>
      <c r="M515" s="29"/>
      <c r="N515" s="29"/>
      <c r="O515" s="29"/>
      <c r="P515" s="73">
        <f t="shared" si="36"/>
        <v>6691474.0949999997</v>
      </c>
      <c r="Q515" s="75" t="s">
        <v>52</v>
      </c>
      <c r="S515" s="52">
        <f t="shared" si="37"/>
        <v>10456365.0798108</v>
      </c>
      <c r="T515" s="33"/>
    </row>
    <row r="516" spans="1:20" x14ac:dyDescent="0.25">
      <c r="A516" s="26" t="s">
        <v>81</v>
      </c>
      <c r="B516" s="60" t="s">
        <v>13</v>
      </c>
      <c r="C516" s="60" t="s">
        <v>100</v>
      </c>
      <c r="D516" s="60" t="s">
        <v>186</v>
      </c>
      <c r="E516" s="60">
        <v>1</v>
      </c>
      <c r="F516" s="60" t="s">
        <v>1</v>
      </c>
      <c r="G516" s="72" t="s">
        <v>12</v>
      </c>
      <c r="H516" s="73">
        <v>6691474.0949999997</v>
      </c>
      <c r="I516" s="74">
        <v>1</v>
      </c>
      <c r="J516" s="29">
        <v>1000</v>
      </c>
      <c r="K516" s="29" t="s">
        <v>124</v>
      </c>
      <c r="L516" s="29">
        <v>25</v>
      </c>
      <c r="M516" s="29"/>
      <c r="N516" s="29"/>
      <c r="O516" s="29"/>
      <c r="P516" s="73">
        <f t="shared" si="36"/>
        <v>6691474.0949999997</v>
      </c>
      <c r="Q516" s="75" t="s">
        <v>52</v>
      </c>
      <c r="S516" s="52">
        <f t="shared" si="37"/>
        <v>10456365.0798108</v>
      </c>
      <c r="T516" s="33"/>
    </row>
    <row r="517" spans="1:20" x14ac:dyDescent="0.25">
      <c r="A517" s="26" t="s">
        <v>81</v>
      </c>
      <c r="B517" s="60" t="s">
        <v>13</v>
      </c>
      <c r="C517" s="60" t="s">
        <v>100</v>
      </c>
      <c r="D517" s="60" t="s">
        <v>187</v>
      </c>
      <c r="E517" s="60">
        <v>1</v>
      </c>
      <c r="F517" s="60" t="s">
        <v>1</v>
      </c>
      <c r="G517" s="72" t="s">
        <v>12</v>
      </c>
      <c r="H517" s="73">
        <v>6691474.0949999997</v>
      </c>
      <c r="I517" s="74">
        <v>1</v>
      </c>
      <c r="J517" s="29">
        <v>1500</v>
      </c>
      <c r="K517" s="29" t="s">
        <v>124</v>
      </c>
      <c r="L517" s="29">
        <v>25</v>
      </c>
      <c r="M517" s="29"/>
      <c r="N517" s="29"/>
      <c r="O517" s="29"/>
      <c r="P517" s="73">
        <f t="shared" si="36"/>
        <v>6691474.0949999997</v>
      </c>
      <c r="Q517" s="75" t="s">
        <v>52</v>
      </c>
      <c r="S517" s="52">
        <f t="shared" si="37"/>
        <v>10456365.0798108</v>
      </c>
      <c r="T517" s="33"/>
    </row>
    <row r="518" spans="1:20" x14ac:dyDescent="0.25">
      <c r="A518" s="26" t="s">
        <v>81</v>
      </c>
      <c r="B518" s="60" t="s">
        <v>13</v>
      </c>
      <c r="C518" s="60" t="s">
        <v>100</v>
      </c>
      <c r="D518" s="60" t="s">
        <v>188</v>
      </c>
      <c r="E518" s="60">
        <v>1</v>
      </c>
      <c r="F518" s="60" t="s">
        <v>1</v>
      </c>
      <c r="G518" s="72" t="s">
        <v>12</v>
      </c>
      <c r="H518" s="73">
        <v>6691474.0949999997</v>
      </c>
      <c r="I518" s="74">
        <v>1</v>
      </c>
      <c r="J518" s="29">
        <v>2500</v>
      </c>
      <c r="K518" s="29" t="s">
        <v>124</v>
      </c>
      <c r="L518" s="29">
        <v>25</v>
      </c>
      <c r="M518" s="29"/>
      <c r="N518" s="29"/>
      <c r="O518" s="29"/>
      <c r="P518" s="73">
        <f t="shared" si="36"/>
        <v>6691474.0949999997</v>
      </c>
      <c r="Q518" s="75" t="s">
        <v>52</v>
      </c>
      <c r="S518" s="52">
        <f t="shared" si="37"/>
        <v>10456365.0798108</v>
      </c>
      <c r="T518" s="33"/>
    </row>
    <row r="519" spans="1:20" x14ac:dyDescent="0.25">
      <c r="A519" s="26" t="s">
        <v>81</v>
      </c>
      <c r="B519" s="60" t="s">
        <v>13</v>
      </c>
      <c r="C519" s="60" t="s">
        <v>100</v>
      </c>
      <c r="D519" s="60" t="s">
        <v>189</v>
      </c>
      <c r="E519" s="60">
        <v>1</v>
      </c>
      <c r="F519" s="60" t="s">
        <v>1</v>
      </c>
      <c r="G519" s="72" t="s">
        <v>12</v>
      </c>
      <c r="H519" s="73">
        <v>6257369.0949999997</v>
      </c>
      <c r="I519" s="74">
        <v>1</v>
      </c>
      <c r="J519" s="29">
        <v>500</v>
      </c>
      <c r="K519" s="29" t="s">
        <v>124</v>
      </c>
      <c r="L519" s="29">
        <v>15</v>
      </c>
      <c r="M519" s="29"/>
      <c r="N519" s="29"/>
      <c r="O519" s="29"/>
      <c r="P519" s="73">
        <f t="shared" si="36"/>
        <v>6257369.0949999997</v>
      </c>
      <c r="Q519" s="75" t="s">
        <v>52</v>
      </c>
      <c r="S519" s="52">
        <f t="shared" si="37"/>
        <v>9778015.242610801</v>
      </c>
      <c r="T519" s="33"/>
    </row>
    <row r="520" spans="1:20" x14ac:dyDescent="0.25">
      <c r="A520" s="26" t="s">
        <v>81</v>
      </c>
      <c r="B520" s="60" t="s">
        <v>13</v>
      </c>
      <c r="C520" s="60" t="s">
        <v>100</v>
      </c>
      <c r="D520" s="60" t="s">
        <v>190</v>
      </c>
      <c r="E520" s="60">
        <v>1</v>
      </c>
      <c r="F520" s="60" t="s">
        <v>1</v>
      </c>
      <c r="G520" s="72" t="s">
        <v>12</v>
      </c>
      <c r="H520" s="73">
        <v>6257369.0949999997</v>
      </c>
      <c r="I520" s="74">
        <v>1</v>
      </c>
      <c r="J520" s="29">
        <v>1000</v>
      </c>
      <c r="K520" s="29" t="s">
        <v>124</v>
      </c>
      <c r="L520" s="29">
        <v>15</v>
      </c>
      <c r="M520" s="29"/>
      <c r="N520" s="29"/>
      <c r="O520" s="29"/>
      <c r="P520" s="73">
        <f t="shared" si="36"/>
        <v>6257369.0949999997</v>
      </c>
      <c r="Q520" s="75" t="s">
        <v>52</v>
      </c>
      <c r="S520" s="52">
        <f t="shared" si="37"/>
        <v>9778015.242610801</v>
      </c>
      <c r="T520" s="33"/>
    </row>
    <row r="521" spans="1:20" x14ac:dyDescent="0.25">
      <c r="A521" s="26" t="s">
        <v>81</v>
      </c>
      <c r="B521" s="60" t="s">
        <v>13</v>
      </c>
      <c r="C521" s="60" t="s">
        <v>100</v>
      </c>
      <c r="D521" s="60" t="s">
        <v>191</v>
      </c>
      <c r="E521" s="60">
        <v>1</v>
      </c>
      <c r="F521" s="60" t="s">
        <v>1</v>
      </c>
      <c r="G521" s="72" t="s">
        <v>12</v>
      </c>
      <c r="H521" s="73">
        <v>6257369.0949999997</v>
      </c>
      <c r="I521" s="74">
        <v>1</v>
      </c>
      <c r="J521" s="29">
        <v>1500</v>
      </c>
      <c r="K521" s="29" t="s">
        <v>124</v>
      </c>
      <c r="L521" s="29">
        <v>15</v>
      </c>
      <c r="M521" s="29"/>
      <c r="N521" s="29"/>
      <c r="O521" s="29"/>
      <c r="P521" s="73">
        <f t="shared" si="36"/>
        <v>6257369.0949999997</v>
      </c>
      <c r="Q521" s="75" t="s">
        <v>52</v>
      </c>
      <c r="S521" s="52">
        <f t="shared" si="37"/>
        <v>9778015.242610801</v>
      </c>
      <c r="T521" s="33"/>
    </row>
    <row r="522" spans="1:20" x14ac:dyDescent="0.25">
      <c r="A522" s="26" t="s">
        <v>81</v>
      </c>
      <c r="B522" s="60" t="s">
        <v>13</v>
      </c>
      <c r="C522" s="60" t="s">
        <v>100</v>
      </c>
      <c r="D522" s="60" t="s">
        <v>192</v>
      </c>
      <c r="E522" s="60">
        <v>1</v>
      </c>
      <c r="F522" s="60" t="s">
        <v>1</v>
      </c>
      <c r="G522" s="72" t="s">
        <v>12</v>
      </c>
      <c r="H522" s="73">
        <v>6257369.0949999997</v>
      </c>
      <c r="I522" s="74">
        <v>1</v>
      </c>
      <c r="J522" s="29">
        <v>2500</v>
      </c>
      <c r="K522" s="29" t="s">
        <v>124</v>
      </c>
      <c r="L522" s="29">
        <v>15</v>
      </c>
      <c r="M522" s="29"/>
      <c r="N522" s="29"/>
      <c r="O522" s="29"/>
      <c r="P522" s="73">
        <f t="shared" si="36"/>
        <v>6257369.0949999997</v>
      </c>
      <c r="Q522" s="75" t="s">
        <v>52</v>
      </c>
      <c r="S522" s="52">
        <f t="shared" si="37"/>
        <v>9778015.242610801</v>
      </c>
      <c r="T522" s="33"/>
    </row>
    <row r="523" spans="1:20" x14ac:dyDescent="0.25">
      <c r="A523" s="26" t="s">
        <v>81</v>
      </c>
      <c r="B523" s="60" t="s">
        <v>13</v>
      </c>
      <c r="C523" s="60" t="s">
        <v>100</v>
      </c>
      <c r="D523" s="60" t="s">
        <v>193</v>
      </c>
      <c r="E523" s="60">
        <v>2</v>
      </c>
      <c r="F523" s="60" t="s">
        <v>1</v>
      </c>
      <c r="G523" s="72" t="s">
        <v>12</v>
      </c>
      <c r="H523" s="73">
        <v>6691474.0949999997</v>
      </c>
      <c r="I523" s="74">
        <v>1</v>
      </c>
      <c r="J523" s="29">
        <v>500</v>
      </c>
      <c r="K523" s="29" t="s">
        <v>124</v>
      </c>
      <c r="L523" s="29">
        <v>25</v>
      </c>
      <c r="M523" s="29"/>
      <c r="N523" s="29"/>
      <c r="O523" s="29"/>
      <c r="P523" s="73">
        <f t="shared" si="36"/>
        <v>6691474.0949999997</v>
      </c>
      <c r="Q523" s="75" t="s">
        <v>52</v>
      </c>
      <c r="S523" s="52">
        <f t="shared" si="37"/>
        <v>10456365.0798108</v>
      </c>
      <c r="T523" s="33"/>
    </row>
    <row r="524" spans="1:20" x14ac:dyDescent="0.25">
      <c r="A524" s="26" t="s">
        <v>81</v>
      </c>
      <c r="B524" s="60" t="s">
        <v>13</v>
      </c>
      <c r="C524" s="60" t="s">
        <v>100</v>
      </c>
      <c r="D524" s="60" t="s">
        <v>194</v>
      </c>
      <c r="E524" s="60">
        <v>2</v>
      </c>
      <c r="F524" s="60" t="s">
        <v>1</v>
      </c>
      <c r="G524" s="72" t="s">
        <v>12</v>
      </c>
      <c r="H524" s="73">
        <v>6691474.0949999997</v>
      </c>
      <c r="I524" s="74">
        <v>1</v>
      </c>
      <c r="J524" s="29">
        <v>1000</v>
      </c>
      <c r="K524" s="29" t="s">
        <v>124</v>
      </c>
      <c r="L524" s="29">
        <v>25</v>
      </c>
      <c r="M524" s="29"/>
      <c r="N524" s="29"/>
      <c r="O524" s="29"/>
      <c r="P524" s="73">
        <f t="shared" si="36"/>
        <v>6691474.0949999997</v>
      </c>
      <c r="Q524" s="75" t="s">
        <v>52</v>
      </c>
      <c r="S524" s="52">
        <f t="shared" si="37"/>
        <v>10456365.0798108</v>
      </c>
      <c r="T524" s="33"/>
    </row>
    <row r="525" spans="1:20" x14ac:dyDescent="0.25">
      <c r="A525" s="26" t="s">
        <v>81</v>
      </c>
      <c r="B525" s="60" t="s">
        <v>13</v>
      </c>
      <c r="C525" s="60" t="s">
        <v>100</v>
      </c>
      <c r="D525" s="60" t="s">
        <v>195</v>
      </c>
      <c r="E525" s="60">
        <v>2</v>
      </c>
      <c r="F525" s="60" t="s">
        <v>1</v>
      </c>
      <c r="G525" s="72" t="s">
        <v>12</v>
      </c>
      <c r="H525" s="73">
        <v>6691474.0949999997</v>
      </c>
      <c r="I525" s="74">
        <v>1</v>
      </c>
      <c r="J525" s="29">
        <v>1500</v>
      </c>
      <c r="K525" s="29" t="s">
        <v>124</v>
      </c>
      <c r="L525" s="29">
        <v>25</v>
      </c>
      <c r="M525" s="29"/>
      <c r="N525" s="29"/>
      <c r="O525" s="29"/>
      <c r="P525" s="73">
        <f t="shared" si="36"/>
        <v>6691474.0949999997</v>
      </c>
      <c r="Q525" s="75" t="s">
        <v>52</v>
      </c>
      <c r="S525" s="52">
        <f t="shared" si="37"/>
        <v>10456365.0798108</v>
      </c>
      <c r="T525" s="33"/>
    </row>
    <row r="526" spans="1:20" x14ac:dyDescent="0.25">
      <c r="A526" s="26" t="s">
        <v>81</v>
      </c>
      <c r="B526" s="60" t="s">
        <v>13</v>
      </c>
      <c r="C526" s="60" t="s">
        <v>100</v>
      </c>
      <c r="D526" s="60" t="s">
        <v>196</v>
      </c>
      <c r="E526" s="60">
        <v>2</v>
      </c>
      <c r="F526" s="60" t="s">
        <v>1</v>
      </c>
      <c r="G526" s="72" t="s">
        <v>12</v>
      </c>
      <c r="H526" s="73">
        <v>6691474.0949999997</v>
      </c>
      <c r="I526" s="74">
        <v>1</v>
      </c>
      <c r="J526" s="29">
        <v>2500</v>
      </c>
      <c r="K526" s="29" t="s">
        <v>124</v>
      </c>
      <c r="L526" s="29">
        <v>25</v>
      </c>
      <c r="M526" s="29"/>
      <c r="N526" s="29"/>
      <c r="O526" s="29"/>
      <c r="P526" s="73">
        <f t="shared" si="36"/>
        <v>6691474.0949999997</v>
      </c>
      <c r="Q526" s="75" t="s">
        <v>52</v>
      </c>
      <c r="S526" s="52">
        <f t="shared" si="37"/>
        <v>10456365.0798108</v>
      </c>
      <c r="T526" s="33"/>
    </row>
    <row r="527" spans="1:20" x14ac:dyDescent="0.25">
      <c r="A527" s="26" t="s">
        <v>81</v>
      </c>
      <c r="B527" s="60" t="s">
        <v>13</v>
      </c>
      <c r="C527" s="60" t="s">
        <v>100</v>
      </c>
      <c r="D527" s="60" t="s">
        <v>197</v>
      </c>
      <c r="E527" s="60">
        <v>2</v>
      </c>
      <c r="F527" s="60" t="s">
        <v>1</v>
      </c>
      <c r="G527" s="72" t="s">
        <v>12</v>
      </c>
      <c r="H527" s="73">
        <v>6257369.0949999997</v>
      </c>
      <c r="I527" s="74">
        <v>1</v>
      </c>
      <c r="J527" s="29">
        <v>500</v>
      </c>
      <c r="K527" s="29" t="s">
        <v>124</v>
      </c>
      <c r="L527" s="29">
        <v>15</v>
      </c>
      <c r="M527" s="29"/>
      <c r="N527" s="29"/>
      <c r="O527" s="29"/>
      <c r="P527" s="73">
        <f t="shared" si="36"/>
        <v>6257369.0949999997</v>
      </c>
      <c r="Q527" s="75" t="s">
        <v>52</v>
      </c>
      <c r="S527" s="52">
        <f t="shared" si="37"/>
        <v>9778015.242610801</v>
      </c>
      <c r="T527" s="33"/>
    </row>
    <row r="528" spans="1:20" x14ac:dyDescent="0.25">
      <c r="A528" s="26" t="s">
        <v>81</v>
      </c>
      <c r="B528" s="60" t="s">
        <v>13</v>
      </c>
      <c r="C528" s="60" t="s">
        <v>100</v>
      </c>
      <c r="D528" s="60" t="s">
        <v>198</v>
      </c>
      <c r="E528" s="60">
        <v>2</v>
      </c>
      <c r="F528" s="60" t="s">
        <v>1</v>
      </c>
      <c r="G528" s="72" t="s">
        <v>12</v>
      </c>
      <c r="H528" s="73">
        <v>6257369.0949999997</v>
      </c>
      <c r="I528" s="74">
        <v>1</v>
      </c>
      <c r="J528" s="29">
        <v>1000</v>
      </c>
      <c r="K528" s="29" t="s">
        <v>124</v>
      </c>
      <c r="L528" s="29">
        <v>15</v>
      </c>
      <c r="M528" s="29"/>
      <c r="N528" s="29"/>
      <c r="O528" s="29"/>
      <c r="P528" s="73">
        <f t="shared" si="36"/>
        <v>6257369.0949999997</v>
      </c>
      <c r="Q528" s="75" t="s">
        <v>52</v>
      </c>
      <c r="S528" s="52">
        <f t="shared" si="37"/>
        <v>9778015.242610801</v>
      </c>
      <c r="T528" s="33"/>
    </row>
    <row r="529" spans="1:20" x14ac:dyDescent="0.25">
      <c r="A529" s="26" t="s">
        <v>81</v>
      </c>
      <c r="B529" s="60" t="s">
        <v>13</v>
      </c>
      <c r="C529" s="60" t="s">
        <v>100</v>
      </c>
      <c r="D529" s="60" t="s">
        <v>199</v>
      </c>
      <c r="E529" s="60">
        <v>2</v>
      </c>
      <c r="F529" s="60" t="s">
        <v>1</v>
      </c>
      <c r="G529" s="72" t="s">
        <v>12</v>
      </c>
      <c r="H529" s="73">
        <v>6257369.0949999997</v>
      </c>
      <c r="I529" s="74">
        <v>1</v>
      </c>
      <c r="J529" s="29">
        <v>1500</v>
      </c>
      <c r="K529" s="29" t="s">
        <v>124</v>
      </c>
      <c r="L529" s="29">
        <v>15</v>
      </c>
      <c r="M529" s="29"/>
      <c r="N529" s="29"/>
      <c r="O529" s="29"/>
      <c r="P529" s="73">
        <f t="shared" si="36"/>
        <v>6257369.0949999997</v>
      </c>
      <c r="Q529" s="75" t="s">
        <v>52</v>
      </c>
      <c r="S529" s="52">
        <f t="shared" si="37"/>
        <v>9778015.242610801</v>
      </c>
      <c r="T529" s="33"/>
    </row>
    <row r="530" spans="1:20" x14ac:dyDescent="0.25">
      <c r="A530" s="26" t="s">
        <v>81</v>
      </c>
      <c r="B530" s="60" t="s">
        <v>13</v>
      </c>
      <c r="C530" s="60" t="s">
        <v>100</v>
      </c>
      <c r="D530" s="60" t="s">
        <v>200</v>
      </c>
      <c r="E530" s="60">
        <v>2</v>
      </c>
      <c r="F530" s="60" t="s">
        <v>1</v>
      </c>
      <c r="G530" s="72" t="s">
        <v>12</v>
      </c>
      <c r="H530" s="73">
        <v>6257369.0949999997</v>
      </c>
      <c r="I530" s="74">
        <v>1</v>
      </c>
      <c r="J530" s="29">
        <v>2500</v>
      </c>
      <c r="K530" s="29" t="s">
        <v>124</v>
      </c>
      <c r="L530" s="29">
        <v>15</v>
      </c>
      <c r="M530" s="29"/>
      <c r="N530" s="29"/>
      <c r="O530" s="29"/>
      <c r="P530" s="73">
        <f t="shared" si="36"/>
        <v>6257369.0949999997</v>
      </c>
      <c r="Q530" s="75" t="s">
        <v>52</v>
      </c>
      <c r="S530" s="52">
        <f t="shared" si="37"/>
        <v>9778015.242610801</v>
      </c>
      <c r="T530" s="33"/>
    </row>
    <row r="531" spans="1:20" x14ac:dyDescent="0.25">
      <c r="A531" s="26" t="s">
        <v>81</v>
      </c>
      <c r="B531" s="60" t="s">
        <v>13</v>
      </c>
      <c r="C531" s="60" t="s">
        <v>100</v>
      </c>
      <c r="D531" s="60" t="s">
        <v>193</v>
      </c>
      <c r="E531" s="60">
        <v>3</v>
      </c>
      <c r="F531" s="60" t="s">
        <v>1</v>
      </c>
      <c r="G531" s="72" t="s">
        <v>12</v>
      </c>
      <c r="H531" s="73">
        <v>6691474.0949999997</v>
      </c>
      <c r="I531" s="74">
        <v>1</v>
      </c>
      <c r="J531" s="29">
        <v>500</v>
      </c>
      <c r="K531" s="29" t="s">
        <v>124</v>
      </c>
      <c r="L531" s="29">
        <v>25</v>
      </c>
      <c r="M531" s="29"/>
      <c r="N531" s="29"/>
      <c r="O531" s="29"/>
      <c r="P531" s="73">
        <f t="shared" ref="P531:P538" si="39">+I531*H531</f>
        <v>6691474.0949999997</v>
      </c>
      <c r="Q531" s="75" t="s">
        <v>52</v>
      </c>
      <c r="S531" s="52">
        <f t="shared" si="37"/>
        <v>10456365.0798108</v>
      </c>
      <c r="T531" s="33"/>
    </row>
    <row r="532" spans="1:20" x14ac:dyDescent="0.25">
      <c r="A532" s="26" t="s">
        <v>81</v>
      </c>
      <c r="B532" s="60" t="s">
        <v>13</v>
      </c>
      <c r="C532" s="60" t="s">
        <v>100</v>
      </c>
      <c r="D532" s="60" t="s">
        <v>194</v>
      </c>
      <c r="E532" s="60">
        <v>3</v>
      </c>
      <c r="F532" s="60" t="s">
        <v>1</v>
      </c>
      <c r="G532" s="72" t="s">
        <v>12</v>
      </c>
      <c r="H532" s="73">
        <v>6691474.0949999997</v>
      </c>
      <c r="I532" s="74">
        <v>1</v>
      </c>
      <c r="J532" s="29">
        <v>1000</v>
      </c>
      <c r="K532" s="29" t="s">
        <v>124</v>
      </c>
      <c r="L532" s="29">
        <v>25</v>
      </c>
      <c r="M532" s="29"/>
      <c r="N532" s="29"/>
      <c r="O532" s="29"/>
      <c r="P532" s="73">
        <f t="shared" si="39"/>
        <v>6691474.0949999997</v>
      </c>
      <c r="Q532" s="75" t="s">
        <v>52</v>
      </c>
      <c r="S532" s="52">
        <f t="shared" si="37"/>
        <v>10456365.0798108</v>
      </c>
      <c r="T532" s="33"/>
    </row>
    <row r="533" spans="1:20" x14ac:dyDescent="0.25">
      <c r="A533" s="26" t="s">
        <v>81</v>
      </c>
      <c r="B533" s="60" t="s">
        <v>13</v>
      </c>
      <c r="C533" s="60" t="s">
        <v>100</v>
      </c>
      <c r="D533" s="60" t="s">
        <v>195</v>
      </c>
      <c r="E533" s="60">
        <v>3</v>
      </c>
      <c r="F533" s="60" t="s">
        <v>1</v>
      </c>
      <c r="G533" s="72" t="s">
        <v>12</v>
      </c>
      <c r="H533" s="73">
        <v>6691474.0949999997</v>
      </c>
      <c r="I533" s="74">
        <v>1</v>
      </c>
      <c r="J533" s="29">
        <v>1500</v>
      </c>
      <c r="K533" s="29" t="s">
        <v>124</v>
      </c>
      <c r="L533" s="29">
        <v>25</v>
      </c>
      <c r="M533" s="29"/>
      <c r="N533" s="29"/>
      <c r="O533" s="29"/>
      <c r="P533" s="73">
        <f t="shared" si="39"/>
        <v>6691474.0949999997</v>
      </c>
      <c r="Q533" s="75" t="s">
        <v>52</v>
      </c>
      <c r="S533" s="52">
        <f t="shared" si="37"/>
        <v>10456365.0798108</v>
      </c>
      <c r="T533" s="33"/>
    </row>
    <row r="534" spans="1:20" x14ac:dyDescent="0.25">
      <c r="A534" s="26" t="s">
        <v>81</v>
      </c>
      <c r="B534" s="60" t="s">
        <v>13</v>
      </c>
      <c r="C534" s="60" t="s">
        <v>100</v>
      </c>
      <c r="D534" s="60" t="s">
        <v>196</v>
      </c>
      <c r="E534" s="60">
        <v>3</v>
      </c>
      <c r="F534" s="60" t="s">
        <v>1</v>
      </c>
      <c r="G534" s="72" t="s">
        <v>12</v>
      </c>
      <c r="H534" s="73">
        <v>6691474.0949999997</v>
      </c>
      <c r="I534" s="74">
        <v>1</v>
      </c>
      <c r="J534" s="29">
        <v>2500</v>
      </c>
      <c r="K534" s="29" t="s">
        <v>124</v>
      </c>
      <c r="L534" s="29">
        <v>25</v>
      </c>
      <c r="M534" s="29"/>
      <c r="N534" s="29"/>
      <c r="O534" s="29"/>
      <c r="P534" s="73">
        <f t="shared" si="39"/>
        <v>6691474.0949999997</v>
      </c>
      <c r="Q534" s="75" t="s">
        <v>52</v>
      </c>
      <c r="S534" s="52">
        <f t="shared" si="37"/>
        <v>10456365.0798108</v>
      </c>
      <c r="T534" s="33"/>
    </row>
    <row r="535" spans="1:20" x14ac:dyDescent="0.25">
      <c r="A535" s="26" t="s">
        <v>81</v>
      </c>
      <c r="B535" s="60" t="s">
        <v>13</v>
      </c>
      <c r="C535" s="60" t="s">
        <v>100</v>
      </c>
      <c r="D535" s="60" t="s">
        <v>197</v>
      </c>
      <c r="E535" s="60">
        <v>3</v>
      </c>
      <c r="F535" s="60" t="s">
        <v>1</v>
      </c>
      <c r="G535" s="72" t="s">
        <v>12</v>
      </c>
      <c r="H535" s="73">
        <v>6257369.0949999997</v>
      </c>
      <c r="I535" s="74">
        <v>1</v>
      </c>
      <c r="J535" s="29">
        <v>500</v>
      </c>
      <c r="K535" s="29" t="s">
        <v>124</v>
      </c>
      <c r="L535" s="29">
        <v>15</v>
      </c>
      <c r="M535" s="29"/>
      <c r="N535" s="29"/>
      <c r="O535" s="29"/>
      <c r="P535" s="73">
        <f t="shared" si="39"/>
        <v>6257369.0949999997</v>
      </c>
      <c r="Q535" s="75" t="s">
        <v>52</v>
      </c>
      <c r="S535" s="52">
        <f t="shared" si="37"/>
        <v>9778015.242610801</v>
      </c>
      <c r="T535" s="33"/>
    </row>
    <row r="536" spans="1:20" x14ac:dyDescent="0.25">
      <c r="A536" s="26" t="s">
        <v>81</v>
      </c>
      <c r="B536" s="60" t="s">
        <v>13</v>
      </c>
      <c r="C536" s="60" t="s">
        <v>100</v>
      </c>
      <c r="D536" s="60" t="s">
        <v>198</v>
      </c>
      <c r="E536" s="60">
        <v>3</v>
      </c>
      <c r="F536" s="60" t="s">
        <v>1</v>
      </c>
      <c r="G536" s="72" t="s">
        <v>12</v>
      </c>
      <c r="H536" s="73">
        <v>6257369.0949999997</v>
      </c>
      <c r="I536" s="74">
        <v>1</v>
      </c>
      <c r="J536" s="29">
        <v>1000</v>
      </c>
      <c r="K536" s="29" t="s">
        <v>124</v>
      </c>
      <c r="L536" s="29">
        <v>15</v>
      </c>
      <c r="M536" s="29"/>
      <c r="N536" s="29"/>
      <c r="O536" s="29"/>
      <c r="P536" s="73">
        <f t="shared" si="39"/>
        <v>6257369.0949999997</v>
      </c>
      <c r="Q536" s="75" t="s">
        <v>52</v>
      </c>
      <c r="S536" s="52">
        <f t="shared" si="37"/>
        <v>9778015.242610801</v>
      </c>
      <c r="T536" s="33"/>
    </row>
    <row r="537" spans="1:20" x14ac:dyDescent="0.25">
      <c r="A537" s="26" t="s">
        <v>81</v>
      </c>
      <c r="B537" s="60" t="s">
        <v>13</v>
      </c>
      <c r="C537" s="60" t="s">
        <v>100</v>
      </c>
      <c r="D537" s="60" t="s">
        <v>199</v>
      </c>
      <c r="E537" s="60">
        <v>3</v>
      </c>
      <c r="F537" s="60" t="s">
        <v>1</v>
      </c>
      <c r="G537" s="72" t="s">
        <v>12</v>
      </c>
      <c r="H537" s="73">
        <v>6257369.0949999997</v>
      </c>
      <c r="I537" s="74">
        <v>1</v>
      </c>
      <c r="J537" s="29">
        <v>1500</v>
      </c>
      <c r="K537" s="29" t="s">
        <v>124</v>
      </c>
      <c r="L537" s="29">
        <v>15</v>
      </c>
      <c r="M537" s="29"/>
      <c r="N537" s="29"/>
      <c r="O537" s="29"/>
      <c r="P537" s="73">
        <f t="shared" si="39"/>
        <v>6257369.0949999997</v>
      </c>
      <c r="Q537" s="75" t="s">
        <v>52</v>
      </c>
      <c r="S537" s="52">
        <f t="shared" si="37"/>
        <v>9778015.242610801</v>
      </c>
      <c r="T537" s="33"/>
    </row>
    <row r="538" spans="1:20" x14ac:dyDescent="0.25">
      <c r="A538" s="26" t="s">
        <v>81</v>
      </c>
      <c r="B538" s="60" t="s">
        <v>13</v>
      </c>
      <c r="C538" s="60" t="s">
        <v>100</v>
      </c>
      <c r="D538" s="60" t="s">
        <v>200</v>
      </c>
      <c r="E538" s="60">
        <v>3</v>
      </c>
      <c r="F538" s="60" t="s">
        <v>1</v>
      </c>
      <c r="G538" s="72" t="s">
        <v>12</v>
      </c>
      <c r="H538" s="73">
        <v>6257369.0949999997</v>
      </c>
      <c r="I538" s="74">
        <v>1</v>
      </c>
      <c r="J538" s="29">
        <v>2500</v>
      </c>
      <c r="K538" s="29" t="s">
        <v>124</v>
      </c>
      <c r="L538" s="29">
        <v>15</v>
      </c>
      <c r="M538" s="29"/>
      <c r="N538" s="29"/>
      <c r="O538" s="29"/>
      <c r="P538" s="73">
        <f t="shared" si="39"/>
        <v>6257369.0949999997</v>
      </c>
      <c r="Q538" s="75" t="s">
        <v>52</v>
      </c>
      <c r="S538" s="52">
        <f t="shared" si="37"/>
        <v>9778015.242610801</v>
      </c>
      <c r="T538" s="33"/>
    </row>
    <row r="539" spans="1:20" x14ac:dyDescent="0.25">
      <c r="A539" s="26" t="s">
        <v>81</v>
      </c>
      <c r="B539" s="60" t="s">
        <v>13</v>
      </c>
      <c r="C539" s="60" t="s">
        <v>101</v>
      </c>
      <c r="D539" s="60" t="s">
        <v>185</v>
      </c>
      <c r="E539" s="60">
        <v>1</v>
      </c>
      <c r="F539" s="60" t="s">
        <v>1</v>
      </c>
      <c r="G539" s="72" t="s">
        <v>12</v>
      </c>
      <c r="H539" s="73">
        <v>5165519.7299999995</v>
      </c>
      <c r="I539" s="74">
        <v>1</v>
      </c>
      <c r="J539" s="29">
        <v>500</v>
      </c>
      <c r="K539" s="29" t="s">
        <v>124</v>
      </c>
      <c r="L539" s="29">
        <v>25</v>
      </c>
      <c r="M539" s="29"/>
      <c r="N539" s="29"/>
      <c r="O539" s="29"/>
      <c r="P539" s="73">
        <f t="shared" si="36"/>
        <v>5165519.7299999995</v>
      </c>
      <c r="Q539" s="75" t="s">
        <v>52</v>
      </c>
      <c r="S539" s="52">
        <f t="shared" si="37"/>
        <v>8071847.7508872002</v>
      </c>
      <c r="T539" s="33"/>
    </row>
    <row r="540" spans="1:20" x14ac:dyDescent="0.25">
      <c r="A540" s="26" t="s">
        <v>81</v>
      </c>
      <c r="B540" s="60" t="s">
        <v>13</v>
      </c>
      <c r="C540" s="60" t="s">
        <v>101</v>
      </c>
      <c r="D540" s="60" t="s">
        <v>186</v>
      </c>
      <c r="E540" s="60">
        <v>1</v>
      </c>
      <c r="F540" s="60" t="s">
        <v>1</v>
      </c>
      <c r="G540" s="72" t="s">
        <v>12</v>
      </c>
      <c r="H540" s="73">
        <v>9136071.0633333325</v>
      </c>
      <c r="I540" s="74">
        <v>1</v>
      </c>
      <c r="J540" s="29">
        <v>1000</v>
      </c>
      <c r="K540" s="29" t="s">
        <v>124</v>
      </c>
      <c r="L540" s="29">
        <v>25</v>
      </c>
      <c r="M540" s="29"/>
      <c r="N540" s="29"/>
      <c r="O540" s="29"/>
      <c r="P540" s="73">
        <f t="shared" si="36"/>
        <v>9136071.0633333325</v>
      </c>
      <c r="Q540" s="75" t="s">
        <v>52</v>
      </c>
      <c r="S540" s="52">
        <f t="shared" si="37"/>
        <v>14276390.086407198</v>
      </c>
      <c r="T540" s="33"/>
    </row>
    <row r="541" spans="1:20" x14ac:dyDescent="0.25">
      <c r="A541" s="26" t="s">
        <v>81</v>
      </c>
      <c r="B541" s="60" t="s">
        <v>13</v>
      </c>
      <c r="C541" s="60" t="s">
        <v>101</v>
      </c>
      <c r="D541" s="60" t="s">
        <v>187</v>
      </c>
      <c r="E541" s="60">
        <v>1</v>
      </c>
      <c r="F541" s="60" t="s">
        <v>1</v>
      </c>
      <c r="G541" s="72" t="s">
        <v>12</v>
      </c>
      <c r="H541" s="73">
        <v>12407775.063333333</v>
      </c>
      <c r="I541" s="74">
        <v>1</v>
      </c>
      <c r="J541" s="29">
        <v>1500</v>
      </c>
      <c r="K541" s="29" t="s">
        <v>124</v>
      </c>
      <c r="L541" s="29">
        <v>25</v>
      </c>
      <c r="M541" s="29"/>
      <c r="N541" s="29"/>
      <c r="O541" s="29"/>
      <c r="P541" s="73">
        <f t="shared" si="36"/>
        <v>12407775.063333333</v>
      </c>
      <c r="Q541" s="75" t="s">
        <v>52</v>
      </c>
      <c r="S541" s="52">
        <f t="shared" si="37"/>
        <v>19388885.624967199</v>
      </c>
      <c r="T541" s="33"/>
    </row>
    <row r="542" spans="1:20" x14ac:dyDescent="0.25">
      <c r="A542" s="26" t="s">
        <v>81</v>
      </c>
      <c r="B542" s="60" t="s">
        <v>13</v>
      </c>
      <c r="C542" s="60" t="s">
        <v>101</v>
      </c>
      <c r="D542" s="60" t="s">
        <v>188</v>
      </c>
      <c r="E542" s="60">
        <v>1</v>
      </c>
      <c r="F542" s="60" t="s">
        <v>1</v>
      </c>
      <c r="G542" s="72" t="s">
        <v>12</v>
      </c>
      <c r="H542" s="73">
        <v>16480775.063333333</v>
      </c>
      <c r="I542" s="74">
        <v>1</v>
      </c>
      <c r="J542" s="29">
        <v>2500</v>
      </c>
      <c r="K542" s="29" t="s">
        <v>124</v>
      </c>
      <c r="L542" s="29">
        <v>25</v>
      </c>
      <c r="M542" s="29"/>
      <c r="N542" s="29"/>
      <c r="O542" s="29"/>
      <c r="P542" s="73">
        <f t="shared" si="36"/>
        <v>16480775.063333333</v>
      </c>
      <c r="Q542" s="75" t="s">
        <v>52</v>
      </c>
      <c r="S542" s="52">
        <f t="shared" si="37"/>
        <v>25753518.344967201</v>
      </c>
      <c r="T542" s="33"/>
    </row>
    <row r="543" spans="1:20" x14ac:dyDescent="0.25">
      <c r="A543" s="26" t="s">
        <v>81</v>
      </c>
      <c r="B543" s="60" t="s">
        <v>13</v>
      </c>
      <c r="C543" s="60" t="s">
        <v>101</v>
      </c>
      <c r="D543" s="60" t="s">
        <v>189</v>
      </c>
      <c r="E543" s="60">
        <v>1</v>
      </c>
      <c r="F543" s="60" t="s">
        <v>1</v>
      </c>
      <c r="G543" s="72" t="s">
        <v>12</v>
      </c>
      <c r="H543" s="73">
        <v>5165519.7299999995</v>
      </c>
      <c r="I543" s="74">
        <v>1</v>
      </c>
      <c r="J543" s="29">
        <v>500</v>
      </c>
      <c r="K543" s="29" t="s">
        <v>124</v>
      </c>
      <c r="L543" s="29">
        <v>15</v>
      </c>
      <c r="M543" s="29"/>
      <c r="N543" s="29"/>
      <c r="O543" s="29"/>
      <c r="P543" s="73">
        <f t="shared" si="36"/>
        <v>5165519.7299999995</v>
      </c>
      <c r="Q543" s="75" t="s">
        <v>52</v>
      </c>
      <c r="S543" s="52">
        <f t="shared" si="37"/>
        <v>8071847.7508872002</v>
      </c>
      <c r="T543" s="33"/>
    </row>
    <row r="544" spans="1:20" x14ac:dyDescent="0.25">
      <c r="A544" s="26" t="s">
        <v>81</v>
      </c>
      <c r="B544" s="60" t="s">
        <v>13</v>
      </c>
      <c r="C544" s="60" t="s">
        <v>101</v>
      </c>
      <c r="D544" s="60" t="s">
        <v>190</v>
      </c>
      <c r="E544" s="60">
        <v>1</v>
      </c>
      <c r="F544" s="60" t="s">
        <v>1</v>
      </c>
      <c r="G544" s="72" t="s">
        <v>12</v>
      </c>
      <c r="H544" s="73">
        <v>9136071.0633333325</v>
      </c>
      <c r="I544" s="74">
        <v>1</v>
      </c>
      <c r="J544" s="29">
        <v>1000</v>
      </c>
      <c r="K544" s="29" t="s">
        <v>124</v>
      </c>
      <c r="L544" s="29">
        <v>15</v>
      </c>
      <c r="M544" s="29"/>
      <c r="N544" s="29"/>
      <c r="O544" s="29"/>
      <c r="P544" s="73">
        <f t="shared" si="36"/>
        <v>9136071.0633333325</v>
      </c>
      <c r="Q544" s="75" t="s">
        <v>52</v>
      </c>
      <c r="S544" s="52">
        <f t="shared" si="37"/>
        <v>14276390.086407198</v>
      </c>
      <c r="T544" s="33"/>
    </row>
    <row r="545" spans="1:20" x14ac:dyDescent="0.25">
      <c r="A545" s="26" t="s">
        <v>81</v>
      </c>
      <c r="B545" s="60" t="s">
        <v>13</v>
      </c>
      <c r="C545" s="60" t="s">
        <v>101</v>
      </c>
      <c r="D545" s="60" t="s">
        <v>191</v>
      </c>
      <c r="E545" s="60">
        <v>1</v>
      </c>
      <c r="F545" s="60" t="s">
        <v>1</v>
      </c>
      <c r="G545" s="72" t="s">
        <v>12</v>
      </c>
      <c r="H545" s="73">
        <v>12407775.063333333</v>
      </c>
      <c r="I545" s="74">
        <v>1</v>
      </c>
      <c r="J545" s="29">
        <v>1500</v>
      </c>
      <c r="K545" s="29" t="s">
        <v>124</v>
      </c>
      <c r="L545" s="29">
        <v>15</v>
      </c>
      <c r="M545" s="29"/>
      <c r="N545" s="29"/>
      <c r="O545" s="29"/>
      <c r="P545" s="73">
        <f t="shared" si="36"/>
        <v>12407775.063333333</v>
      </c>
      <c r="Q545" s="75" t="s">
        <v>52</v>
      </c>
      <c r="S545" s="52">
        <f t="shared" si="37"/>
        <v>19388885.624967199</v>
      </c>
      <c r="T545" s="33"/>
    </row>
    <row r="546" spans="1:20" x14ac:dyDescent="0.25">
      <c r="A546" s="26" t="s">
        <v>81</v>
      </c>
      <c r="B546" s="60" t="s">
        <v>13</v>
      </c>
      <c r="C546" s="60" t="s">
        <v>101</v>
      </c>
      <c r="D546" s="60" t="s">
        <v>192</v>
      </c>
      <c r="E546" s="60">
        <v>1</v>
      </c>
      <c r="F546" s="60" t="s">
        <v>1</v>
      </c>
      <c r="G546" s="72" t="s">
        <v>12</v>
      </c>
      <c r="H546" s="73">
        <v>16480775.063333333</v>
      </c>
      <c r="I546" s="74">
        <v>1</v>
      </c>
      <c r="J546" s="29">
        <v>2500</v>
      </c>
      <c r="K546" s="29" t="s">
        <v>124</v>
      </c>
      <c r="L546" s="29">
        <v>15</v>
      </c>
      <c r="M546" s="29"/>
      <c r="N546" s="29"/>
      <c r="O546" s="29"/>
      <c r="P546" s="73">
        <f t="shared" si="36"/>
        <v>16480775.063333333</v>
      </c>
      <c r="Q546" s="75" t="s">
        <v>52</v>
      </c>
      <c r="S546" s="52">
        <f t="shared" si="37"/>
        <v>25753518.344967201</v>
      </c>
      <c r="T546" s="33"/>
    </row>
    <row r="547" spans="1:20" x14ac:dyDescent="0.25">
      <c r="A547" s="26" t="s">
        <v>81</v>
      </c>
      <c r="B547" s="60" t="s">
        <v>13</v>
      </c>
      <c r="C547" s="60" t="s">
        <v>101</v>
      </c>
      <c r="D547" s="60" t="s">
        <v>193</v>
      </c>
      <c r="E547" s="60">
        <v>2</v>
      </c>
      <c r="F547" s="60" t="s">
        <v>1</v>
      </c>
      <c r="G547" s="72" t="s">
        <v>12</v>
      </c>
      <c r="H547" s="73">
        <v>6006740.9299999997</v>
      </c>
      <c r="I547" s="74">
        <v>1</v>
      </c>
      <c r="J547" s="29">
        <v>500</v>
      </c>
      <c r="K547" s="29" t="s">
        <v>124</v>
      </c>
      <c r="L547" s="29">
        <v>25</v>
      </c>
      <c r="M547" s="29"/>
      <c r="N547" s="29"/>
      <c r="O547" s="29"/>
      <c r="P547" s="73">
        <f t="shared" si="36"/>
        <v>6006740.9299999997</v>
      </c>
      <c r="Q547" s="75" t="s">
        <v>52</v>
      </c>
      <c r="S547" s="52">
        <f t="shared" si="37"/>
        <v>9386373.6468552016</v>
      </c>
      <c r="T547" s="33"/>
    </row>
    <row r="548" spans="1:20" x14ac:dyDescent="0.25">
      <c r="A548" s="26" t="s">
        <v>81</v>
      </c>
      <c r="B548" s="60" t="s">
        <v>13</v>
      </c>
      <c r="C548" s="60" t="s">
        <v>101</v>
      </c>
      <c r="D548" s="60" t="s">
        <v>194</v>
      </c>
      <c r="E548" s="60">
        <v>2</v>
      </c>
      <c r="F548" s="60" t="s">
        <v>1</v>
      </c>
      <c r="G548" s="72" t="s">
        <v>12</v>
      </c>
      <c r="H548" s="73">
        <v>10637507.663333334</v>
      </c>
      <c r="I548" s="74">
        <v>1</v>
      </c>
      <c r="J548" s="29">
        <v>1000</v>
      </c>
      <c r="K548" s="29" t="s">
        <v>124</v>
      </c>
      <c r="L548" s="29">
        <v>25</v>
      </c>
      <c r="M548" s="29"/>
      <c r="N548" s="29"/>
      <c r="O548" s="29"/>
      <c r="P548" s="73">
        <f t="shared" si="36"/>
        <v>10637507.663333334</v>
      </c>
      <c r="Q548" s="75" t="s">
        <v>52</v>
      </c>
      <c r="S548" s="52">
        <f t="shared" si="37"/>
        <v>16622594.975031197</v>
      </c>
      <c r="T548" s="33"/>
    </row>
    <row r="549" spans="1:20" x14ac:dyDescent="0.25">
      <c r="A549" s="26" t="s">
        <v>81</v>
      </c>
      <c r="B549" s="60" t="s">
        <v>13</v>
      </c>
      <c r="C549" s="60" t="s">
        <v>101</v>
      </c>
      <c r="D549" s="60" t="s">
        <v>195</v>
      </c>
      <c r="E549" s="60">
        <v>2</v>
      </c>
      <c r="F549" s="60" t="s">
        <v>1</v>
      </c>
      <c r="G549" s="72" t="s">
        <v>12</v>
      </c>
      <c r="H549" s="73">
        <v>14359772.863333335</v>
      </c>
      <c r="I549" s="74">
        <v>1</v>
      </c>
      <c r="J549" s="29">
        <v>1500</v>
      </c>
      <c r="K549" s="29" t="s">
        <v>124</v>
      </c>
      <c r="L549" s="29">
        <v>25</v>
      </c>
      <c r="M549" s="29"/>
      <c r="N549" s="29"/>
      <c r="O549" s="29"/>
      <c r="P549" s="73">
        <f t="shared" si="36"/>
        <v>14359772.863333335</v>
      </c>
      <c r="Q549" s="75" t="s">
        <v>52</v>
      </c>
      <c r="S549" s="52">
        <f t="shared" si="37"/>
        <v>22439155.4671592</v>
      </c>
      <c r="T549" s="33"/>
    </row>
    <row r="550" spans="1:20" x14ac:dyDescent="0.25">
      <c r="A550" s="26" t="s">
        <v>81</v>
      </c>
      <c r="B550" s="60" t="s">
        <v>13</v>
      </c>
      <c r="C550" s="60" t="s">
        <v>101</v>
      </c>
      <c r="D550" s="60" t="s">
        <v>196</v>
      </c>
      <c r="E550" s="60">
        <v>2</v>
      </c>
      <c r="F550" s="60" t="s">
        <v>1</v>
      </c>
      <c r="G550" s="72" t="s">
        <v>12</v>
      </c>
      <c r="H550" s="73">
        <v>18432772.863333333</v>
      </c>
      <c r="I550" s="74">
        <v>1</v>
      </c>
      <c r="J550" s="29">
        <v>2500</v>
      </c>
      <c r="K550" s="29" t="s">
        <v>124</v>
      </c>
      <c r="L550" s="29">
        <v>25</v>
      </c>
      <c r="M550" s="29"/>
      <c r="N550" s="29"/>
      <c r="O550" s="29"/>
      <c r="P550" s="73">
        <f t="shared" si="36"/>
        <v>18432772.863333333</v>
      </c>
      <c r="Q550" s="75" t="s">
        <v>52</v>
      </c>
      <c r="S550" s="52">
        <f t="shared" si="37"/>
        <v>28803788.187159203</v>
      </c>
      <c r="T550" s="33"/>
    </row>
    <row r="551" spans="1:20" x14ac:dyDescent="0.25">
      <c r="A551" s="26" t="s">
        <v>81</v>
      </c>
      <c r="B551" s="60" t="s">
        <v>13</v>
      </c>
      <c r="C551" s="60" t="s">
        <v>101</v>
      </c>
      <c r="D551" s="60" t="s">
        <v>197</v>
      </c>
      <c r="E551" s="60">
        <v>2</v>
      </c>
      <c r="F551" s="60" t="s">
        <v>1</v>
      </c>
      <c r="G551" s="72" t="s">
        <v>12</v>
      </c>
      <c r="H551" s="73">
        <v>6006740.9299999997</v>
      </c>
      <c r="I551" s="74">
        <v>1</v>
      </c>
      <c r="J551" s="29">
        <v>500</v>
      </c>
      <c r="K551" s="29" t="s">
        <v>124</v>
      </c>
      <c r="L551" s="29">
        <v>15</v>
      </c>
      <c r="M551" s="29"/>
      <c r="N551" s="29"/>
      <c r="O551" s="29"/>
      <c r="P551" s="73">
        <f t="shared" si="36"/>
        <v>6006740.9299999997</v>
      </c>
      <c r="Q551" s="75" t="s">
        <v>52</v>
      </c>
      <c r="S551" s="52">
        <f t="shared" si="37"/>
        <v>9386373.6468552016</v>
      </c>
      <c r="T551" s="33"/>
    </row>
    <row r="552" spans="1:20" x14ac:dyDescent="0.25">
      <c r="A552" s="26" t="s">
        <v>81</v>
      </c>
      <c r="B552" s="60" t="s">
        <v>13</v>
      </c>
      <c r="C552" s="60" t="s">
        <v>101</v>
      </c>
      <c r="D552" s="60" t="s">
        <v>198</v>
      </c>
      <c r="E552" s="60">
        <v>2</v>
      </c>
      <c r="F552" s="60" t="s">
        <v>1</v>
      </c>
      <c r="G552" s="72" t="s">
        <v>12</v>
      </c>
      <c r="H552" s="73">
        <v>10637507.663333334</v>
      </c>
      <c r="I552" s="74">
        <v>1</v>
      </c>
      <c r="J552" s="29">
        <v>1000</v>
      </c>
      <c r="K552" s="29" t="s">
        <v>124</v>
      </c>
      <c r="L552" s="29">
        <v>15</v>
      </c>
      <c r="M552" s="29"/>
      <c r="N552" s="29"/>
      <c r="O552" s="29"/>
      <c r="P552" s="73">
        <f t="shared" si="36"/>
        <v>10637507.663333334</v>
      </c>
      <c r="Q552" s="75" t="s">
        <v>52</v>
      </c>
      <c r="S552" s="52">
        <f t="shared" si="37"/>
        <v>16622594.975031197</v>
      </c>
      <c r="T552" s="33"/>
    </row>
    <row r="553" spans="1:20" x14ac:dyDescent="0.25">
      <c r="A553" s="26" t="s">
        <v>81</v>
      </c>
      <c r="B553" s="60" t="s">
        <v>13</v>
      </c>
      <c r="C553" s="60" t="s">
        <v>101</v>
      </c>
      <c r="D553" s="60" t="s">
        <v>199</v>
      </c>
      <c r="E553" s="60">
        <v>2</v>
      </c>
      <c r="F553" s="60" t="s">
        <v>1</v>
      </c>
      <c r="G553" s="72" t="s">
        <v>12</v>
      </c>
      <c r="H553" s="73">
        <v>14359772.863333335</v>
      </c>
      <c r="I553" s="74">
        <v>1</v>
      </c>
      <c r="J553" s="29">
        <v>1500</v>
      </c>
      <c r="K553" s="29" t="s">
        <v>124</v>
      </c>
      <c r="L553" s="29">
        <v>15</v>
      </c>
      <c r="M553" s="29"/>
      <c r="N553" s="29"/>
      <c r="O553" s="29"/>
      <c r="P553" s="73">
        <f t="shared" si="36"/>
        <v>14359772.863333335</v>
      </c>
      <c r="Q553" s="75" t="s">
        <v>52</v>
      </c>
      <c r="S553" s="52">
        <f t="shared" si="37"/>
        <v>22439155.4671592</v>
      </c>
      <c r="T553" s="33"/>
    </row>
    <row r="554" spans="1:20" x14ac:dyDescent="0.25">
      <c r="A554" s="26" t="s">
        <v>81</v>
      </c>
      <c r="B554" s="60" t="s">
        <v>13</v>
      </c>
      <c r="C554" s="60" t="s">
        <v>101</v>
      </c>
      <c r="D554" s="60" t="s">
        <v>200</v>
      </c>
      <c r="E554" s="60">
        <v>2</v>
      </c>
      <c r="F554" s="60" t="s">
        <v>1</v>
      </c>
      <c r="G554" s="72" t="s">
        <v>12</v>
      </c>
      <c r="H554" s="73">
        <v>18432772.863333333</v>
      </c>
      <c r="I554" s="74">
        <v>1</v>
      </c>
      <c r="J554" s="29">
        <v>2500</v>
      </c>
      <c r="K554" s="29" t="s">
        <v>124</v>
      </c>
      <c r="L554" s="29">
        <v>15</v>
      </c>
      <c r="M554" s="29"/>
      <c r="N554" s="29"/>
      <c r="O554" s="29"/>
      <c r="P554" s="73">
        <f t="shared" si="36"/>
        <v>18432772.863333333</v>
      </c>
      <c r="Q554" s="75" t="s">
        <v>52</v>
      </c>
      <c r="S554" s="52">
        <f t="shared" si="37"/>
        <v>28803788.187159203</v>
      </c>
      <c r="T554" s="33"/>
    </row>
    <row r="555" spans="1:20" x14ac:dyDescent="0.25">
      <c r="A555" s="26" t="s">
        <v>81</v>
      </c>
      <c r="B555" s="60" t="s">
        <v>13</v>
      </c>
      <c r="C555" s="60" t="s">
        <v>101</v>
      </c>
      <c r="D555" s="60" t="s">
        <v>193</v>
      </c>
      <c r="E555" s="60">
        <v>3</v>
      </c>
      <c r="F555" s="60" t="s">
        <v>1</v>
      </c>
      <c r="G555" s="72" t="s">
        <v>12</v>
      </c>
      <c r="H555" s="73">
        <v>6006740.9299999997</v>
      </c>
      <c r="I555" s="74">
        <v>1</v>
      </c>
      <c r="J555" s="29">
        <v>500</v>
      </c>
      <c r="K555" s="29" t="s">
        <v>124</v>
      </c>
      <c r="L555" s="29">
        <v>25</v>
      </c>
      <c r="M555" s="29"/>
      <c r="N555" s="29"/>
      <c r="O555" s="29"/>
      <c r="P555" s="73">
        <f t="shared" ref="P555:P562" si="40">+I555*H555</f>
        <v>6006740.9299999997</v>
      </c>
      <c r="Q555" s="75" t="s">
        <v>52</v>
      </c>
      <c r="S555" s="52">
        <f t="shared" si="37"/>
        <v>9386373.6468552016</v>
      </c>
      <c r="T555" s="33"/>
    </row>
    <row r="556" spans="1:20" x14ac:dyDescent="0.25">
      <c r="A556" s="26" t="s">
        <v>81</v>
      </c>
      <c r="B556" s="60" t="s">
        <v>13</v>
      </c>
      <c r="C556" s="60" t="s">
        <v>101</v>
      </c>
      <c r="D556" s="60" t="s">
        <v>194</v>
      </c>
      <c r="E556" s="60">
        <v>3</v>
      </c>
      <c r="F556" s="60" t="s">
        <v>1</v>
      </c>
      <c r="G556" s="72" t="s">
        <v>12</v>
      </c>
      <c r="H556" s="73">
        <v>10637507.663333334</v>
      </c>
      <c r="I556" s="74">
        <v>1</v>
      </c>
      <c r="J556" s="29">
        <v>1000</v>
      </c>
      <c r="K556" s="29" t="s">
        <v>124</v>
      </c>
      <c r="L556" s="29">
        <v>25</v>
      </c>
      <c r="M556" s="29"/>
      <c r="N556" s="29"/>
      <c r="O556" s="29"/>
      <c r="P556" s="73">
        <f t="shared" si="40"/>
        <v>10637507.663333334</v>
      </c>
      <c r="Q556" s="75" t="s">
        <v>52</v>
      </c>
      <c r="S556" s="52">
        <f t="shared" si="37"/>
        <v>16622594.975031197</v>
      </c>
      <c r="T556" s="33"/>
    </row>
    <row r="557" spans="1:20" x14ac:dyDescent="0.25">
      <c r="A557" s="26" t="s">
        <v>81</v>
      </c>
      <c r="B557" s="60" t="s">
        <v>13</v>
      </c>
      <c r="C557" s="60" t="s">
        <v>101</v>
      </c>
      <c r="D557" s="60" t="s">
        <v>195</v>
      </c>
      <c r="E557" s="60">
        <v>3</v>
      </c>
      <c r="F557" s="60" t="s">
        <v>1</v>
      </c>
      <c r="G557" s="72" t="s">
        <v>12</v>
      </c>
      <c r="H557" s="73">
        <v>14359772.863333335</v>
      </c>
      <c r="I557" s="74">
        <v>1</v>
      </c>
      <c r="J557" s="29">
        <v>1500</v>
      </c>
      <c r="K557" s="29" t="s">
        <v>124</v>
      </c>
      <c r="L557" s="29">
        <v>25</v>
      </c>
      <c r="M557" s="29"/>
      <c r="N557" s="29"/>
      <c r="O557" s="29"/>
      <c r="P557" s="73">
        <f t="shared" si="40"/>
        <v>14359772.863333335</v>
      </c>
      <c r="Q557" s="75" t="s">
        <v>52</v>
      </c>
      <c r="S557" s="52">
        <f t="shared" si="37"/>
        <v>22439155.4671592</v>
      </c>
      <c r="T557" s="33"/>
    </row>
    <row r="558" spans="1:20" x14ac:dyDescent="0.25">
      <c r="A558" s="26" t="s">
        <v>81</v>
      </c>
      <c r="B558" s="60" t="s">
        <v>13</v>
      </c>
      <c r="C558" s="60" t="s">
        <v>101</v>
      </c>
      <c r="D558" s="60" t="s">
        <v>196</v>
      </c>
      <c r="E558" s="60">
        <v>3</v>
      </c>
      <c r="F558" s="60" t="s">
        <v>1</v>
      </c>
      <c r="G558" s="72" t="s">
        <v>12</v>
      </c>
      <c r="H558" s="73">
        <v>18432772.863333333</v>
      </c>
      <c r="I558" s="74">
        <v>1</v>
      </c>
      <c r="J558" s="29">
        <v>2500</v>
      </c>
      <c r="K558" s="29" t="s">
        <v>124</v>
      </c>
      <c r="L558" s="29">
        <v>25</v>
      </c>
      <c r="M558" s="29"/>
      <c r="N558" s="29"/>
      <c r="O558" s="29"/>
      <c r="P558" s="73">
        <f t="shared" si="40"/>
        <v>18432772.863333333</v>
      </c>
      <c r="Q558" s="75" t="s">
        <v>52</v>
      </c>
      <c r="S558" s="52">
        <f t="shared" si="37"/>
        <v>28803788.187159203</v>
      </c>
      <c r="T558" s="33"/>
    </row>
    <row r="559" spans="1:20" x14ac:dyDescent="0.25">
      <c r="A559" s="26" t="s">
        <v>81</v>
      </c>
      <c r="B559" s="60" t="s">
        <v>13</v>
      </c>
      <c r="C559" s="60" t="s">
        <v>101</v>
      </c>
      <c r="D559" s="60" t="s">
        <v>197</v>
      </c>
      <c r="E559" s="60">
        <v>3</v>
      </c>
      <c r="F559" s="60" t="s">
        <v>1</v>
      </c>
      <c r="G559" s="72" t="s">
        <v>12</v>
      </c>
      <c r="H559" s="73">
        <v>6006740.9299999997</v>
      </c>
      <c r="I559" s="74">
        <v>1</v>
      </c>
      <c r="J559" s="29">
        <v>500</v>
      </c>
      <c r="K559" s="29" t="s">
        <v>124</v>
      </c>
      <c r="L559" s="29">
        <v>15</v>
      </c>
      <c r="M559" s="29"/>
      <c r="N559" s="29"/>
      <c r="O559" s="29"/>
      <c r="P559" s="73">
        <f t="shared" si="40"/>
        <v>6006740.9299999997</v>
      </c>
      <c r="Q559" s="75" t="s">
        <v>52</v>
      </c>
      <c r="S559" s="52">
        <f t="shared" si="37"/>
        <v>9386373.6468552016</v>
      </c>
      <c r="T559" s="33"/>
    </row>
    <row r="560" spans="1:20" x14ac:dyDescent="0.25">
      <c r="A560" s="26" t="s">
        <v>81</v>
      </c>
      <c r="B560" s="60" t="s">
        <v>13</v>
      </c>
      <c r="C560" s="60" t="s">
        <v>101</v>
      </c>
      <c r="D560" s="60" t="s">
        <v>198</v>
      </c>
      <c r="E560" s="60">
        <v>3</v>
      </c>
      <c r="F560" s="60" t="s">
        <v>1</v>
      </c>
      <c r="G560" s="72" t="s">
        <v>12</v>
      </c>
      <c r="H560" s="73">
        <v>10637507.663333334</v>
      </c>
      <c r="I560" s="74">
        <v>1</v>
      </c>
      <c r="J560" s="29">
        <v>1000</v>
      </c>
      <c r="K560" s="29" t="s">
        <v>124</v>
      </c>
      <c r="L560" s="29">
        <v>15</v>
      </c>
      <c r="M560" s="29"/>
      <c r="N560" s="29"/>
      <c r="O560" s="29"/>
      <c r="P560" s="73">
        <f t="shared" si="40"/>
        <v>10637507.663333334</v>
      </c>
      <c r="Q560" s="75" t="s">
        <v>52</v>
      </c>
      <c r="S560" s="52">
        <f t="shared" si="37"/>
        <v>16622594.975031197</v>
      </c>
      <c r="T560" s="33"/>
    </row>
    <row r="561" spans="1:20" x14ac:dyDescent="0.25">
      <c r="A561" s="26" t="s">
        <v>81</v>
      </c>
      <c r="B561" s="60" t="s">
        <v>13</v>
      </c>
      <c r="C561" s="60" t="s">
        <v>101</v>
      </c>
      <c r="D561" s="60" t="s">
        <v>199</v>
      </c>
      <c r="E561" s="60">
        <v>3</v>
      </c>
      <c r="F561" s="60" t="s">
        <v>1</v>
      </c>
      <c r="G561" s="72" t="s">
        <v>12</v>
      </c>
      <c r="H561" s="73">
        <v>14359772.863333335</v>
      </c>
      <c r="I561" s="74">
        <v>1</v>
      </c>
      <c r="J561" s="29">
        <v>1500</v>
      </c>
      <c r="K561" s="29" t="s">
        <v>124</v>
      </c>
      <c r="L561" s="29">
        <v>15</v>
      </c>
      <c r="M561" s="29"/>
      <c r="N561" s="29"/>
      <c r="O561" s="29"/>
      <c r="P561" s="73">
        <f t="shared" si="40"/>
        <v>14359772.863333335</v>
      </c>
      <c r="Q561" s="75" t="s">
        <v>52</v>
      </c>
      <c r="S561" s="52">
        <f t="shared" si="37"/>
        <v>22439155.4671592</v>
      </c>
      <c r="T561" s="33"/>
    </row>
    <row r="562" spans="1:20" x14ac:dyDescent="0.25">
      <c r="A562" s="26" t="s">
        <v>81</v>
      </c>
      <c r="B562" s="60" t="s">
        <v>13</v>
      </c>
      <c r="C562" s="60" t="s">
        <v>101</v>
      </c>
      <c r="D562" s="60" t="s">
        <v>200</v>
      </c>
      <c r="E562" s="60">
        <v>3</v>
      </c>
      <c r="F562" s="60" t="s">
        <v>1</v>
      </c>
      <c r="G562" s="72" t="s">
        <v>12</v>
      </c>
      <c r="H562" s="73">
        <v>18432772.863333333</v>
      </c>
      <c r="I562" s="74">
        <v>1</v>
      </c>
      <c r="J562" s="29">
        <v>2500</v>
      </c>
      <c r="K562" s="29" t="s">
        <v>124</v>
      </c>
      <c r="L562" s="29">
        <v>15</v>
      </c>
      <c r="M562" s="29"/>
      <c r="N562" s="29"/>
      <c r="O562" s="29"/>
      <c r="P562" s="73">
        <f t="shared" si="40"/>
        <v>18432772.863333333</v>
      </c>
      <c r="Q562" s="75" t="s">
        <v>52</v>
      </c>
      <c r="S562" s="52">
        <f t="shared" si="37"/>
        <v>28803788.187159203</v>
      </c>
      <c r="T562" s="33"/>
    </row>
    <row r="563" spans="1:20" x14ac:dyDescent="0.25">
      <c r="A563" s="26" t="s">
        <v>81</v>
      </c>
      <c r="B563" s="60" t="s">
        <v>13</v>
      </c>
      <c r="C563" s="60" t="s">
        <v>102</v>
      </c>
      <c r="D563" s="60" t="s">
        <v>185</v>
      </c>
      <c r="E563" s="60">
        <v>1</v>
      </c>
      <c r="F563" s="60" t="s">
        <v>1</v>
      </c>
      <c r="G563" s="72" t="s">
        <v>12</v>
      </c>
      <c r="H563" s="73">
        <v>778384.16280000005</v>
      </c>
      <c r="I563" s="74">
        <v>1</v>
      </c>
      <c r="J563" s="29">
        <v>500</v>
      </c>
      <c r="K563" s="29" t="s">
        <v>124</v>
      </c>
      <c r="L563" s="29">
        <v>25</v>
      </c>
      <c r="M563" s="29"/>
      <c r="N563" s="29"/>
      <c r="O563" s="29"/>
      <c r="P563" s="73">
        <f t="shared" si="36"/>
        <v>778384.16280000005</v>
      </c>
      <c r="Q563" s="75" t="s">
        <v>52</v>
      </c>
      <c r="S563" s="55">
        <f>+$T$275*H563*12/5*0.85</f>
        <v>235009.74643257601</v>
      </c>
      <c r="T563" s="54">
        <v>0.14799999999999999</v>
      </c>
    </row>
    <row r="564" spans="1:20" x14ac:dyDescent="0.25">
      <c r="A564" s="26" t="s">
        <v>81</v>
      </c>
      <c r="B564" s="60" t="s">
        <v>13</v>
      </c>
      <c r="C564" s="60" t="s">
        <v>102</v>
      </c>
      <c r="D564" s="60" t="s">
        <v>186</v>
      </c>
      <c r="E564" s="60">
        <v>1</v>
      </c>
      <c r="F564" s="60" t="s">
        <v>1</v>
      </c>
      <c r="G564" s="72" t="s">
        <v>12</v>
      </c>
      <c r="H564" s="73">
        <v>778384.16280000005</v>
      </c>
      <c r="I564" s="74">
        <v>1</v>
      </c>
      <c r="J564" s="29">
        <v>1000</v>
      </c>
      <c r="K564" s="29" t="s">
        <v>124</v>
      </c>
      <c r="L564" s="29">
        <v>25</v>
      </c>
      <c r="M564" s="29"/>
      <c r="N564" s="29"/>
      <c r="O564" s="29"/>
      <c r="P564" s="73">
        <f t="shared" si="36"/>
        <v>778384.16280000005</v>
      </c>
      <c r="Q564" s="75" t="s">
        <v>52</v>
      </c>
      <c r="S564" s="55">
        <f t="shared" ref="S564:S627" si="41">+$T$275*H564*12/5*0.85</f>
        <v>235009.74643257601</v>
      </c>
      <c r="T564" s="53"/>
    </row>
    <row r="565" spans="1:20" x14ac:dyDescent="0.25">
      <c r="A565" s="26" t="s">
        <v>81</v>
      </c>
      <c r="B565" s="60" t="s">
        <v>13</v>
      </c>
      <c r="C565" s="60" t="s">
        <v>102</v>
      </c>
      <c r="D565" s="60" t="s">
        <v>187</v>
      </c>
      <c r="E565" s="60">
        <v>1</v>
      </c>
      <c r="F565" s="60" t="s">
        <v>1</v>
      </c>
      <c r="G565" s="72" t="s">
        <v>12</v>
      </c>
      <c r="H565" s="73">
        <v>778384.16280000005</v>
      </c>
      <c r="I565" s="74">
        <v>1</v>
      </c>
      <c r="J565" s="29">
        <v>1500</v>
      </c>
      <c r="K565" s="29" t="s">
        <v>124</v>
      </c>
      <c r="L565" s="29">
        <v>25</v>
      </c>
      <c r="M565" s="29"/>
      <c r="N565" s="29"/>
      <c r="O565" s="29"/>
      <c r="P565" s="73">
        <f t="shared" si="36"/>
        <v>778384.16280000005</v>
      </c>
      <c r="Q565" s="75" t="s">
        <v>52</v>
      </c>
      <c r="S565" s="55">
        <f t="shared" si="41"/>
        <v>235009.74643257601</v>
      </c>
      <c r="T565" s="53"/>
    </row>
    <row r="566" spans="1:20" x14ac:dyDescent="0.25">
      <c r="A566" s="26" t="s">
        <v>81</v>
      </c>
      <c r="B566" s="60" t="s">
        <v>13</v>
      </c>
      <c r="C566" s="60" t="s">
        <v>102</v>
      </c>
      <c r="D566" s="60" t="s">
        <v>188</v>
      </c>
      <c r="E566" s="60">
        <v>1</v>
      </c>
      <c r="F566" s="60" t="s">
        <v>1</v>
      </c>
      <c r="G566" s="72" t="s">
        <v>12</v>
      </c>
      <c r="H566" s="73">
        <v>778384.16280000005</v>
      </c>
      <c r="I566" s="74">
        <v>1</v>
      </c>
      <c r="J566" s="29">
        <v>2500</v>
      </c>
      <c r="K566" s="29" t="s">
        <v>124</v>
      </c>
      <c r="L566" s="29">
        <v>25</v>
      </c>
      <c r="M566" s="29"/>
      <c r="N566" s="29"/>
      <c r="O566" s="29"/>
      <c r="P566" s="73">
        <f t="shared" si="36"/>
        <v>778384.16280000005</v>
      </c>
      <c r="Q566" s="75" t="s">
        <v>52</v>
      </c>
      <c r="S566" s="55">
        <f t="shared" si="41"/>
        <v>235009.74643257601</v>
      </c>
      <c r="T566" s="53"/>
    </row>
    <row r="567" spans="1:20" x14ac:dyDescent="0.25">
      <c r="A567" s="26" t="s">
        <v>81</v>
      </c>
      <c r="B567" s="60" t="s">
        <v>13</v>
      </c>
      <c r="C567" s="60" t="s">
        <v>102</v>
      </c>
      <c r="D567" s="60" t="s">
        <v>189</v>
      </c>
      <c r="E567" s="60">
        <v>1</v>
      </c>
      <c r="F567" s="60" t="s">
        <v>1</v>
      </c>
      <c r="G567" s="72" t="s">
        <v>12</v>
      </c>
      <c r="H567" s="73">
        <v>619854.30249999999</v>
      </c>
      <c r="I567" s="74">
        <v>1</v>
      </c>
      <c r="J567" s="29">
        <v>500</v>
      </c>
      <c r="K567" s="29" t="s">
        <v>124</v>
      </c>
      <c r="L567" s="29">
        <v>15</v>
      </c>
      <c r="M567" s="29"/>
      <c r="N567" s="29"/>
      <c r="O567" s="29"/>
      <c r="P567" s="73">
        <f t="shared" si="36"/>
        <v>619854.30249999999</v>
      </c>
      <c r="Q567" s="75" t="s">
        <v>52</v>
      </c>
      <c r="S567" s="55">
        <f t="shared" si="41"/>
        <v>187146.41101079999</v>
      </c>
      <c r="T567" s="53"/>
    </row>
    <row r="568" spans="1:20" x14ac:dyDescent="0.25">
      <c r="A568" s="26" t="s">
        <v>81</v>
      </c>
      <c r="B568" s="60" t="s">
        <v>13</v>
      </c>
      <c r="C568" s="60" t="s">
        <v>102</v>
      </c>
      <c r="D568" s="60" t="s">
        <v>190</v>
      </c>
      <c r="E568" s="60">
        <v>1</v>
      </c>
      <c r="F568" s="60" t="s">
        <v>1</v>
      </c>
      <c r="G568" s="72" t="s">
        <v>12</v>
      </c>
      <c r="H568" s="73">
        <v>619854.30249999999</v>
      </c>
      <c r="I568" s="74">
        <v>1</v>
      </c>
      <c r="J568" s="29">
        <v>1000</v>
      </c>
      <c r="K568" s="29" t="s">
        <v>124</v>
      </c>
      <c r="L568" s="29">
        <v>15</v>
      </c>
      <c r="M568" s="29"/>
      <c r="N568" s="29"/>
      <c r="O568" s="29"/>
      <c r="P568" s="73">
        <f t="shared" si="36"/>
        <v>619854.30249999999</v>
      </c>
      <c r="Q568" s="75" t="s">
        <v>52</v>
      </c>
      <c r="S568" s="55">
        <f t="shared" si="41"/>
        <v>187146.41101079999</v>
      </c>
      <c r="T568" s="53"/>
    </row>
    <row r="569" spans="1:20" x14ac:dyDescent="0.25">
      <c r="A569" s="26" t="s">
        <v>81</v>
      </c>
      <c r="B569" s="60" t="s">
        <v>13</v>
      </c>
      <c r="C569" s="60" t="s">
        <v>102</v>
      </c>
      <c r="D569" s="60" t="s">
        <v>191</v>
      </c>
      <c r="E569" s="60">
        <v>1</v>
      </c>
      <c r="F569" s="60" t="s">
        <v>1</v>
      </c>
      <c r="G569" s="72" t="s">
        <v>12</v>
      </c>
      <c r="H569" s="73">
        <v>619854.30249999999</v>
      </c>
      <c r="I569" s="74">
        <v>1</v>
      </c>
      <c r="J569" s="29">
        <v>1500</v>
      </c>
      <c r="K569" s="29" t="s">
        <v>124</v>
      </c>
      <c r="L569" s="29">
        <v>15</v>
      </c>
      <c r="M569" s="29"/>
      <c r="N569" s="29"/>
      <c r="O569" s="29"/>
      <c r="P569" s="73">
        <f t="shared" si="36"/>
        <v>619854.30249999999</v>
      </c>
      <c r="Q569" s="75" t="s">
        <v>52</v>
      </c>
      <c r="S569" s="55">
        <f t="shared" si="41"/>
        <v>187146.41101079999</v>
      </c>
      <c r="T569" s="53"/>
    </row>
    <row r="570" spans="1:20" x14ac:dyDescent="0.25">
      <c r="A570" s="26" t="s">
        <v>81</v>
      </c>
      <c r="B570" s="60" t="s">
        <v>13</v>
      </c>
      <c r="C570" s="60" t="s">
        <v>102</v>
      </c>
      <c r="D570" s="60" t="s">
        <v>192</v>
      </c>
      <c r="E570" s="60">
        <v>1</v>
      </c>
      <c r="F570" s="60" t="s">
        <v>1</v>
      </c>
      <c r="G570" s="72" t="s">
        <v>12</v>
      </c>
      <c r="H570" s="73">
        <v>619854.30249999999</v>
      </c>
      <c r="I570" s="74">
        <v>1</v>
      </c>
      <c r="J570" s="29">
        <v>2500</v>
      </c>
      <c r="K570" s="29" t="s">
        <v>124</v>
      </c>
      <c r="L570" s="29">
        <v>15</v>
      </c>
      <c r="M570" s="29"/>
      <c r="N570" s="29"/>
      <c r="O570" s="29"/>
      <c r="P570" s="73">
        <f t="shared" si="36"/>
        <v>619854.30249999999</v>
      </c>
      <c r="Q570" s="75" t="s">
        <v>52</v>
      </c>
      <c r="S570" s="55">
        <f t="shared" si="41"/>
        <v>187146.41101079999</v>
      </c>
      <c r="T570" s="53"/>
    </row>
    <row r="571" spans="1:20" x14ac:dyDescent="0.25">
      <c r="A571" s="26" t="s">
        <v>81</v>
      </c>
      <c r="B571" s="60" t="s">
        <v>13</v>
      </c>
      <c r="C571" s="60" t="s">
        <v>102</v>
      </c>
      <c r="D571" s="60" t="s">
        <v>193</v>
      </c>
      <c r="E571" s="60">
        <v>2</v>
      </c>
      <c r="F571" s="60" t="s">
        <v>1</v>
      </c>
      <c r="G571" s="72" t="s">
        <v>12</v>
      </c>
      <c r="H571" s="73">
        <v>778384.16280000005</v>
      </c>
      <c r="I571" s="74">
        <v>1</v>
      </c>
      <c r="J571" s="29">
        <v>500</v>
      </c>
      <c r="K571" s="29" t="s">
        <v>124</v>
      </c>
      <c r="L571" s="29">
        <v>25</v>
      </c>
      <c r="M571" s="29"/>
      <c r="N571" s="29"/>
      <c r="O571" s="29"/>
      <c r="P571" s="73">
        <f t="shared" si="36"/>
        <v>778384.16280000005</v>
      </c>
      <c r="Q571" s="75" t="s">
        <v>52</v>
      </c>
      <c r="S571" s="55">
        <f t="shared" si="41"/>
        <v>235009.74643257601</v>
      </c>
      <c r="T571" s="53"/>
    </row>
    <row r="572" spans="1:20" x14ac:dyDescent="0.25">
      <c r="A572" s="26" t="s">
        <v>81</v>
      </c>
      <c r="B572" s="60" t="s">
        <v>13</v>
      </c>
      <c r="C572" s="60" t="s">
        <v>102</v>
      </c>
      <c r="D572" s="60" t="s">
        <v>194</v>
      </c>
      <c r="E572" s="60">
        <v>2</v>
      </c>
      <c r="F572" s="60" t="s">
        <v>1</v>
      </c>
      <c r="G572" s="72" t="s">
        <v>12</v>
      </c>
      <c r="H572" s="73">
        <v>778384.16280000005</v>
      </c>
      <c r="I572" s="74">
        <v>1</v>
      </c>
      <c r="J572" s="29">
        <v>1000</v>
      </c>
      <c r="K572" s="29" t="s">
        <v>124</v>
      </c>
      <c r="L572" s="29">
        <v>25</v>
      </c>
      <c r="M572" s="29"/>
      <c r="N572" s="29"/>
      <c r="O572" s="29"/>
      <c r="P572" s="73">
        <f t="shared" si="36"/>
        <v>778384.16280000005</v>
      </c>
      <c r="Q572" s="75" t="s">
        <v>52</v>
      </c>
      <c r="S572" s="55">
        <f t="shared" si="41"/>
        <v>235009.74643257601</v>
      </c>
      <c r="T572" s="53"/>
    </row>
    <row r="573" spans="1:20" x14ac:dyDescent="0.25">
      <c r="A573" s="26" t="s">
        <v>81</v>
      </c>
      <c r="B573" s="60" t="s">
        <v>13</v>
      </c>
      <c r="C573" s="60" t="s">
        <v>102</v>
      </c>
      <c r="D573" s="60" t="s">
        <v>195</v>
      </c>
      <c r="E573" s="60">
        <v>2</v>
      </c>
      <c r="F573" s="60" t="s">
        <v>1</v>
      </c>
      <c r="G573" s="72" t="s">
        <v>12</v>
      </c>
      <c r="H573" s="73">
        <v>778384.16280000005</v>
      </c>
      <c r="I573" s="74">
        <v>1</v>
      </c>
      <c r="J573" s="29">
        <v>1500</v>
      </c>
      <c r="K573" s="29" t="s">
        <v>124</v>
      </c>
      <c r="L573" s="29">
        <v>25</v>
      </c>
      <c r="M573" s="29"/>
      <c r="N573" s="29"/>
      <c r="O573" s="29"/>
      <c r="P573" s="73">
        <f t="shared" si="36"/>
        <v>778384.16280000005</v>
      </c>
      <c r="Q573" s="75" t="s">
        <v>52</v>
      </c>
      <c r="S573" s="55">
        <f t="shared" si="41"/>
        <v>235009.74643257601</v>
      </c>
      <c r="T573" s="53"/>
    </row>
    <row r="574" spans="1:20" x14ac:dyDescent="0.25">
      <c r="A574" s="26" t="s">
        <v>81</v>
      </c>
      <c r="B574" s="60" t="s">
        <v>13</v>
      </c>
      <c r="C574" s="60" t="s">
        <v>102</v>
      </c>
      <c r="D574" s="60" t="s">
        <v>196</v>
      </c>
      <c r="E574" s="60">
        <v>2</v>
      </c>
      <c r="F574" s="60" t="s">
        <v>1</v>
      </c>
      <c r="G574" s="72" t="s">
        <v>12</v>
      </c>
      <c r="H574" s="73">
        <v>778384.16280000005</v>
      </c>
      <c r="I574" s="74">
        <v>1</v>
      </c>
      <c r="J574" s="29">
        <v>2500</v>
      </c>
      <c r="K574" s="29" t="s">
        <v>124</v>
      </c>
      <c r="L574" s="29">
        <v>25</v>
      </c>
      <c r="M574" s="29"/>
      <c r="N574" s="29"/>
      <c r="O574" s="29"/>
      <c r="P574" s="73">
        <f t="shared" si="36"/>
        <v>778384.16280000005</v>
      </c>
      <c r="Q574" s="75" t="s">
        <v>52</v>
      </c>
      <c r="S574" s="55">
        <f t="shared" si="41"/>
        <v>235009.74643257601</v>
      </c>
      <c r="T574" s="53"/>
    </row>
    <row r="575" spans="1:20" x14ac:dyDescent="0.25">
      <c r="A575" s="26" t="s">
        <v>81</v>
      </c>
      <c r="B575" s="60" t="s">
        <v>13</v>
      </c>
      <c r="C575" s="60" t="s">
        <v>102</v>
      </c>
      <c r="D575" s="60" t="s">
        <v>197</v>
      </c>
      <c r="E575" s="60">
        <v>2</v>
      </c>
      <c r="F575" s="60" t="s">
        <v>1</v>
      </c>
      <c r="G575" s="72" t="s">
        <v>12</v>
      </c>
      <c r="H575" s="73">
        <v>619854.30249999999</v>
      </c>
      <c r="I575" s="74">
        <v>1</v>
      </c>
      <c r="J575" s="29">
        <v>500</v>
      </c>
      <c r="K575" s="29" t="s">
        <v>124</v>
      </c>
      <c r="L575" s="29">
        <v>15</v>
      </c>
      <c r="M575" s="29"/>
      <c r="N575" s="29"/>
      <c r="O575" s="29"/>
      <c r="P575" s="73">
        <f t="shared" si="36"/>
        <v>619854.30249999999</v>
      </c>
      <c r="Q575" s="75" t="s">
        <v>52</v>
      </c>
      <c r="S575" s="55">
        <f t="shared" si="41"/>
        <v>187146.41101079999</v>
      </c>
      <c r="T575" s="53"/>
    </row>
    <row r="576" spans="1:20" x14ac:dyDescent="0.25">
      <c r="A576" s="26" t="s">
        <v>81</v>
      </c>
      <c r="B576" s="60" t="s">
        <v>13</v>
      </c>
      <c r="C576" s="60" t="s">
        <v>102</v>
      </c>
      <c r="D576" s="60" t="s">
        <v>198</v>
      </c>
      <c r="E576" s="60">
        <v>2</v>
      </c>
      <c r="F576" s="60" t="s">
        <v>1</v>
      </c>
      <c r="G576" s="72" t="s">
        <v>12</v>
      </c>
      <c r="H576" s="73">
        <v>619854.30249999999</v>
      </c>
      <c r="I576" s="74">
        <v>1</v>
      </c>
      <c r="J576" s="29">
        <v>1000</v>
      </c>
      <c r="K576" s="29" t="s">
        <v>124</v>
      </c>
      <c r="L576" s="29">
        <v>15</v>
      </c>
      <c r="M576" s="29"/>
      <c r="N576" s="29"/>
      <c r="O576" s="29"/>
      <c r="P576" s="73">
        <f t="shared" si="36"/>
        <v>619854.30249999999</v>
      </c>
      <c r="Q576" s="75" t="s">
        <v>52</v>
      </c>
      <c r="S576" s="55">
        <f t="shared" si="41"/>
        <v>187146.41101079999</v>
      </c>
      <c r="T576" s="53"/>
    </row>
    <row r="577" spans="1:20" x14ac:dyDescent="0.25">
      <c r="A577" s="26" t="s">
        <v>81</v>
      </c>
      <c r="B577" s="60" t="s">
        <v>13</v>
      </c>
      <c r="C577" s="60" t="s">
        <v>102</v>
      </c>
      <c r="D577" s="60" t="s">
        <v>199</v>
      </c>
      <c r="E577" s="60">
        <v>2</v>
      </c>
      <c r="F577" s="60" t="s">
        <v>1</v>
      </c>
      <c r="G577" s="72" t="s">
        <v>12</v>
      </c>
      <c r="H577" s="73">
        <v>619854.30249999999</v>
      </c>
      <c r="I577" s="74">
        <v>1</v>
      </c>
      <c r="J577" s="29">
        <v>1500</v>
      </c>
      <c r="K577" s="29" t="s">
        <v>124</v>
      </c>
      <c r="L577" s="29">
        <v>15</v>
      </c>
      <c r="M577" s="29"/>
      <c r="N577" s="29"/>
      <c r="O577" s="29"/>
      <c r="P577" s="73">
        <f t="shared" si="36"/>
        <v>619854.30249999999</v>
      </c>
      <c r="Q577" s="75" t="s">
        <v>52</v>
      </c>
      <c r="S577" s="55">
        <f t="shared" si="41"/>
        <v>187146.41101079999</v>
      </c>
      <c r="T577" s="53"/>
    </row>
    <row r="578" spans="1:20" x14ac:dyDescent="0.25">
      <c r="A578" s="26" t="s">
        <v>81</v>
      </c>
      <c r="B578" s="60" t="s">
        <v>13</v>
      </c>
      <c r="C578" s="60" t="s">
        <v>102</v>
      </c>
      <c r="D578" s="60" t="s">
        <v>200</v>
      </c>
      <c r="E578" s="60">
        <v>2</v>
      </c>
      <c r="F578" s="60" t="s">
        <v>1</v>
      </c>
      <c r="G578" s="72" t="s">
        <v>12</v>
      </c>
      <c r="H578" s="73">
        <v>619854.30249999999</v>
      </c>
      <c r="I578" s="74">
        <v>1</v>
      </c>
      <c r="J578" s="29">
        <v>2500</v>
      </c>
      <c r="K578" s="29" t="s">
        <v>124</v>
      </c>
      <c r="L578" s="29">
        <v>15</v>
      </c>
      <c r="M578" s="29"/>
      <c r="N578" s="29"/>
      <c r="O578" s="29"/>
      <c r="P578" s="73">
        <f t="shared" si="36"/>
        <v>619854.30249999999</v>
      </c>
      <c r="Q578" s="75" t="s">
        <v>52</v>
      </c>
      <c r="S578" s="55">
        <f t="shared" si="41"/>
        <v>187146.41101079999</v>
      </c>
      <c r="T578" s="53"/>
    </row>
    <row r="579" spans="1:20" x14ac:dyDescent="0.25">
      <c r="A579" s="26" t="s">
        <v>81</v>
      </c>
      <c r="B579" s="60" t="s">
        <v>13</v>
      </c>
      <c r="C579" s="60" t="s">
        <v>102</v>
      </c>
      <c r="D579" s="60" t="s">
        <v>193</v>
      </c>
      <c r="E579" s="60">
        <v>3</v>
      </c>
      <c r="F579" s="60" t="s">
        <v>1</v>
      </c>
      <c r="G579" s="72" t="s">
        <v>12</v>
      </c>
      <c r="H579" s="73">
        <v>778384.16280000005</v>
      </c>
      <c r="I579" s="74">
        <v>1</v>
      </c>
      <c r="J579" s="29">
        <v>500</v>
      </c>
      <c r="K579" s="29" t="s">
        <v>124</v>
      </c>
      <c r="L579" s="29">
        <v>25</v>
      </c>
      <c r="M579" s="29"/>
      <c r="N579" s="29"/>
      <c r="O579" s="29"/>
      <c r="P579" s="73">
        <f t="shared" ref="P579:P586" si="42">+I579*H579</f>
        <v>778384.16280000005</v>
      </c>
      <c r="Q579" s="75" t="s">
        <v>52</v>
      </c>
      <c r="S579" s="55">
        <f t="shared" si="41"/>
        <v>235009.74643257601</v>
      </c>
      <c r="T579" s="53"/>
    </row>
    <row r="580" spans="1:20" x14ac:dyDescent="0.25">
      <c r="A580" s="26" t="s">
        <v>81</v>
      </c>
      <c r="B580" s="60" t="s">
        <v>13</v>
      </c>
      <c r="C580" s="60" t="s">
        <v>102</v>
      </c>
      <c r="D580" s="60" t="s">
        <v>194</v>
      </c>
      <c r="E580" s="60">
        <v>3</v>
      </c>
      <c r="F580" s="60" t="s">
        <v>1</v>
      </c>
      <c r="G580" s="72" t="s">
        <v>12</v>
      </c>
      <c r="H580" s="73">
        <v>778384.16280000005</v>
      </c>
      <c r="I580" s="74">
        <v>1</v>
      </c>
      <c r="J580" s="29">
        <v>1000</v>
      </c>
      <c r="K580" s="29" t="s">
        <v>124</v>
      </c>
      <c r="L580" s="29">
        <v>25</v>
      </c>
      <c r="M580" s="29"/>
      <c r="N580" s="29"/>
      <c r="O580" s="29"/>
      <c r="P580" s="73">
        <f t="shared" si="42"/>
        <v>778384.16280000005</v>
      </c>
      <c r="Q580" s="75" t="s">
        <v>52</v>
      </c>
      <c r="S580" s="55">
        <f t="shared" si="41"/>
        <v>235009.74643257601</v>
      </c>
      <c r="T580" s="53"/>
    </row>
    <row r="581" spans="1:20" x14ac:dyDescent="0.25">
      <c r="A581" s="26" t="s">
        <v>81</v>
      </c>
      <c r="B581" s="60" t="s">
        <v>13</v>
      </c>
      <c r="C581" s="60" t="s">
        <v>102</v>
      </c>
      <c r="D581" s="60" t="s">
        <v>195</v>
      </c>
      <c r="E581" s="60">
        <v>3</v>
      </c>
      <c r="F581" s="60" t="s">
        <v>1</v>
      </c>
      <c r="G581" s="72" t="s">
        <v>12</v>
      </c>
      <c r="H581" s="73">
        <v>778384.16280000005</v>
      </c>
      <c r="I581" s="74">
        <v>1</v>
      </c>
      <c r="J581" s="29">
        <v>1500</v>
      </c>
      <c r="K581" s="29" t="s">
        <v>124</v>
      </c>
      <c r="L581" s="29">
        <v>25</v>
      </c>
      <c r="M581" s="29"/>
      <c r="N581" s="29"/>
      <c r="O581" s="29"/>
      <c r="P581" s="73">
        <f t="shared" si="42"/>
        <v>778384.16280000005</v>
      </c>
      <c r="Q581" s="75" t="s">
        <v>52</v>
      </c>
      <c r="S581" s="55">
        <f t="shared" si="41"/>
        <v>235009.74643257601</v>
      </c>
      <c r="T581" s="53"/>
    </row>
    <row r="582" spans="1:20" x14ac:dyDescent="0.25">
      <c r="A582" s="26" t="s">
        <v>81</v>
      </c>
      <c r="B582" s="60" t="s">
        <v>13</v>
      </c>
      <c r="C582" s="60" t="s">
        <v>102</v>
      </c>
      <c r="D582" s="60" t="s">
        <v>196</v>
      </c>
      <c r="E582" s="60">
        <v>3</v>
      </c>
      <c r="F582" s="60" t="s">
        <v>1</v>
      </c>
      <c r="G582" s="72" t="s">
        <v>12</v>
      </c>
      <c r="H582" s="73">
        <v>778384.16280000005</v>
      </c>
      <c r="I582" s="74">
        <v>1</v>
      </c>
      <c r="J582" s="29">
        <v>2500</v>
      </c>
      <c r="K582" s="29" t="s">
        <v>124</v>
      </c>
      <c r="L582" s="29">
        <v>25</v>
      </c>
      <c r="M582" s="29"/>
      <c r="N582" s="29"/>
      <c r="O582" s="29"/>
      <c r="P582" s="73">
        <f t="shared" si="42"/>
        <v>778384.16280000005</v>
      </c>
      <c r="Q582" s="75" t="s">
        <v>52</v>
      </c>
      <c r="S582" s="55">
        <f t="shared" si="41"/>
        <v>235009.74643257601</v>
      </c>
      <c r="T582" s="53"/>
    </row>
    <row r="583" spans="1:20" x14ac:dyDescent="0.25">
      <c r="A583" s="26" t="s">
        <v>81</v>
      </c>
      <c r="B583" s="60" t="s">
        <v>13</v>
      </c>
      <c r="C583" s="60" t="s">
        <v>102</v>
      </c>
      <c r="D583" s="60" t="s">
        <v>197</v>
      </c>
      <c r="E583" s="60">
        <v>3</v>
      </c>
      <c r="F583" s="60" t="s">
        <v>1</v>
      </c>
      <c r="G583" s="72" t="s">
        <v>12</v>
      </c>
      <c r="H583" s="73">
        <v>619854.30249999999</v>
      </c>
      <c r="I583" s="74">
        <v>1</v>
      </c>
      <c r="J583" s="29">
        <v>500</v>
      </c>
      <c r="K583" s="29" t="s">
        <v>124</v>
      </c>
      <c r="L583" s="29">
        <v>15</v>
      </c>
      <c r="M583" s="29"/>
      <c r="N583" s="29"/>
      <c r="O583" s="29"/>
      <c r="P583" s="73">
        <f t="shared" si="42"/>
        <v>619854.30249999999</v>
      </c>
      <c r="Q583" s="75" t="s">
        <v>52</v>
      </c>
      <c r="S583" s="55">
        <f t="shared" si="41"/>
        <v>187146.41101079999</v>
      </c>
      <c r="T583" s="53"/>
    </row>
    <row r="584" spans="1:20" x14ac:dyDescent="0.25">
      <c r="A584" s="26" t="s">
        <v>81</v>
      </c>
      <c r="B584" s="60" t="s">
        <v>13</v>
      </c>
      <c r="C584" s="60" t="s">
        <v>102</v>
      </c>
      <c r="D584" s="60" t="s">
        <v>198</v>
      </c>
      <c r="E584" s="60">
        <v>3</v>
      </c>
      <c r="F584" s="60" t="s">
        <v>1</v>
      </c>
      <c r="G584" s="72" t="s">
        <v>12</v>
      </c>
      <c r="H584" s="73">
        <v>619854.30249999999</v>
      </c>
      <c r="I584" s="74">
        <v>1</v>
      </c>
      <c r="J584" s="29">
        <v>1000</v>
      </c>
      <c r="K584" s="29" t="s">
        <v>124</v>
      </c>
      <c r="L584" s="29">
        <v>15</v>
      </c>
      <c r="M584" s="29"/>
      <c r="N584" s="29"/>
      <c r="O584" s="29"/>
      <c r="P584" s="73">
        <f t="shared" si="42"/>
        <v>619854.30249999999</v>
      </c>
      <c r="Q584" s="75" t="s">
        <v>52</v>
      </c>
      <c r="S584" s="55">
        <f t="shared" si="41"/>
        <v>187146.41101079999</v>
      </c>
      <c r="T584" s="53"/>
    </row>
    <row r="585" spans="1:20" x14ac:dyDescent="0.25">
      <c r="A585" s="26" t="s">
        <v>81</v>
      </c>
      <c r="B585" s="60" t="s">
        <v>13</v>
      </c>
      <c r="C585" s="60" t="s">
        <v>102</v>
      </c>
      <c r="D585" s="60" t="s">
        <v>199</v>
      </c>
      <c r="E585" s="60">
        <v>3</v>
      </c>
      <c r="F585" s="60" t="s">
        <v>1</v>
      </c>
      <c r="G585" s="72" t="s">
        <v>12</v>
      </c>
      <c r="H585" s="73">
        <v>619854.30249999999</v>
      </c>
      <c r="I585" s="74">
        <v>1</v>
      </c>
      <c r="J585" s="29">
        <v>1500</v>
      </c>
      <c r="K585" s="29" t="s">
        <v>124</v>
      </c>
      <c r="L585" s="29">
        <v>15</v>
      </c>
      <c r="M585" s="29"/>
      <c r="N585" s="29"/>
      <c r="O585" s="29"/>
      <c r="P585" s="73">
        <f t="shared" si="42"/>
        <v>619854.30249999999</v>
      </c>
      <c r="Q585" s="75" t="s">
        <v>52</v>
      </c>
      <c r="S585" s="55">
        <f t="shared" si="41"/>
        <v>187146.41101079999</v>
      </c>
      <c r="T585" s="53"/>
    </row>
    <row r="586" spans="1:20" x14ac:dyDescent="0.25">
      <c r="A586" s="26" t="s">
        <v>81</v>
      </c>
      <c r="B586" s="60" t="s">
        <v>13</v>
      </c>
      <c r="C586" s="60" t="s">
        <v>102</v>
      </c>
      <c r="D586" s="60" t="s">
        <v>200</v>
      </c>
      <c r="E586" s="60">
        <v>3</v>
      </c>
      <c r="F586" s="60" t="s">
        <v>1</v>
      </c>
      <c r="G586" s="72" t="s">
        <v>12</v>
      </c>
      <c r="H586" s="73">
        <v>619854.30249999999</v>
      </c>
      <c r="I586" s="74">
        <v>1</v>
      </c>
      <c r="J586" s="29">
        <v>2500</v>
      </c>
      <c r="K586" s="29" t="s">
        <v>124</v>
      </c>
      <c r="L586" s="29">
        <v>15</v>
      </c>
      <c r="M586" s="29"/>
      <c r="N586" s="29"/>
      <c r="O586" s="29"/>
      <c r="P586" s="73">
        <f t="shared" si="42"/>
        <v>619854.30249999999</v>
      </c>
      <c r="Q586" s="75" t="s">
        <v>52</v>
      </c>
      <c r="S586" s="55">
        <f t="shared" si="41"/>
        <v>187146.41101079999</v>
      </c>
      <c r="T586" s="53"/>
    </row>
    <row r="587" spans="1:20" x14ac:dyDescent="0.25">
      <c r="A587" s="26" t="s">
        <v>81</v>
      </c>
      <c r="B587" s="60" t="s">
        <v>13</v>
      </c>
      <c r="C587" s="60" t="s">
        <v>103</v>
      </c>
      <c r="D587" s="60" t="s">
        <v>185</v>
      </c>
      <c r="E587" s="60">
        <v>1</v>
      </c>
      <c r="F587" s="60" t="s">
        <v>1</v>
      </c>
      <c r="G587" s="72" t="s">
        <v>12</v>
      </c>
      <c r="H587" s="73">
        <v>3086218.5474999999</v>
      </c>
      <c r="I587" s="74">
        <v>1</v>
      </c>
      <c r="J587" s="29">
        <v>500</v>
      </c>
      <c r="K587" s="29" t="s">
        <v>124</v>
      </c>
      <c r="L587" s="29">
        <v>25</v>
      </c>
      <c r="M587" s="29"/>
      <c r="N587" s="29"/>
      <c r="O587" s="29"/>
      <c r="P587" s="73">
        <f t="shared" si="36"/>
        <v>3086218.5474999999</v>
      </c>
      <c r="Q587" s="75" t="s">
        <v>52</v>
      </c>
      <c r="S587" s="55">
        <f t="shared" si="41"/>
        <v>931791.10386119981</v>
      </c>
      <c r="T587" s="53"/>
    </row>
    <row r="588" spans="1:20" x14ac:dyDescent="0.25">
      <c r="A588" s="26" t="s">
        <v>81</v>
      </c>
      <c r="B588" s="60" t="s">
        <v>13</v>
      </c>
      <c r="C588" s="60" t="s">
        <v>103</v>
      </c>
      <c r="D588" s="60" t="s">
        <v>186</v>
      </c>
      <c r="E588" s="60">
        <v>1</v>
      </c>
      <c r="F588" s="60" t="s">
        <v>1</v>
      </c>
      <c r="G588" s="72" t="s">
        <v>12</v>
      </c>
      <c r="H588" s="73">
        <v>3715543.5474999999</v>
      </c>
      <c r="I588" s="74">
        <v>1</v>
      </c>
      <c r="J588" s="29">
        <v>1000</v>
      </c>
      <c r="K588" s="29" t="s">
        <v>124</v>
      </c>
      <c r="L588" s="29">
        <v>25</v>
      </c>
      <c r="M588" s="29"/>
      <c r="N588" s="29"/>
      <c r="O588" s="29"/>
      <c r="P588" s="73">
        <f t="shared" si="36"/>
        <v>3715543.5474999999</v>
      </c>
      <c r="Q588" s="75" t="s">
        <v>52</v>
      </c>
      <c r="S588" s="55">
        <f t="shared" si="41"/>
        <v>1121796.9078611999</v>
      </c>
      <c r="T588" s="53"/>
    </row>
    <row r="589" spans="1:20" x14ac:dyDescent="0.25">
      <c r="A589" s="26" t="s">
        <v>81</v>
      </c>
      <c r="B589" s="60" t="s">
        <v>13</v>
      </c>
      <c r="C589" s="60" t="s">
        <v>103</v>
      </c>
      <c r="D589" s="60" t="s">
        <v>187</v>
      </c>
      <c r="E589" s="60">
        <v>1</v>
      </c>
      <c r="F589" s="60" t="s">
        <v>1</v>
      </c>
      <c r="G589" s="72" t="s">
        <v>12</v>
      </c>
      <c r="H589" s="73">
        <v>4715543.5475000003</v>
      </c>
      <c r="I589" s="74">
        <v>1</v>
      </c>
      <c r="J589" s="29">
        <v>1500</v>
      </c>
      <c r="K589" s="29" t="s">
        <v>124</v>
      </c>
      <c r="L589" s="29">
        <v>25</v>
      </c>
      <c r="M589" s="29"/>
      <c r="N589" s="29"/>
      <c r="O589" s="29"/>
      <c r="P589" s="73">
        <f t="shared" si="36"/>
        <v>4715543.5475000003</v>
      </c>
      <c r="Q589" s="75" t="s">
        <v>52</v>
      </c>
      <c r="S589" s="55">
        <f t="shared" si="41"/>
        <v>1423716.9078611999</v>
      </c>
      <c r="T589" s="53"/>
    </row>
    <row r="590" spans="1:20" x14ac:dyDescent="0.25">
      <c r="A590" s="26" t="s">
        <v>81</v>
      </c>
      <c r="B590" s="60" t="s">
        <v>13</v>
      </c>
      <c r="C590" s="60" t="s">
        <v>103</v>
      </c>
      <c r="D590" s="60" t="s">
        <v>188</v>
      </c>
      <c r="E590" s="60">
        <v>1</v>
      </c>
      <c r="F590" s="60" t="s">
        <v>1</v>
      </c>
      <c r="G590" s="72" t="s">
        <v>12</v>
      </c>
      <c r="H590" s="73">
        <v>5715543.5475000003</v>
      </c>
      <c r="I590" s="74">
        <v>1</v>
      </c>
      <c r="J590" s="29">
        <v>2500</v>
      </c>
      <c r="K590" s="29" t="s">
        <v>124</v>
      </c>
      <c r="L590" s="29">
        <v>25</v>
      </c>
      <c r="M590" s="29"/>
      <c r="N590" s="29"/>
      <c r="O590" s="29"/>
      <c r="P590" s="73">
        <f t="shared" si="36"/>
        <v>5715543.5475000003</v>
      </c>
      <c r="Q590" s="75" t="s">
        <v>52</v>
      </c>
      <c r="S590" s="55">
        <f t="shared" si="41"/>
        <v>1725636.9078611999</v>
      </c>
      <c r="T590" s="53"/>
    </row>
    <row r="591" spans="1:20" x14ac:dyDescent="0.25">
      <c r="A591" s="26" t="s">
        <v>81</v>
      </c>
      <c r="B591" s="60" t="s">
        <v>13</v>
      </c>
      <c r="C591" s="60" t="s">
        <v>103</v>
      </c>
      <c r="D591" s="60" t="s">
        <v>189</v>
      </c>
      <c r="E591" s="60">
        <v>1</v>
      </c>
      <c r="F591" s="60" t="s">
        <v>1</v>
      </c>
      <c r="G591" s="72" t="s">
        <v>12</v>
      </c>
      <c r="H591" s="73">
        <v>3086218.5474999999</v>
      </c>
      <c r="I591" s="74">
        <v>1</v>
      </c>
      <c r="J591" s="29">
        <v>500</v>
      </c>
      <c r="K591" s="29" t="s">
        <v>124</v>
      </c>
      <c r="L591" s="29">
        <v>15</v>
      </c>
      <c r="M591" s="29"/>
      <c r="N591" s="29"/>
      <c r="O591" s="29"/>
      <c r="P591" s="73">
        <f t="shared" si="36"/>
        <v>3086218.5474999999</v>
      </c>
      <c r="Q591" s="75" t="s">
        <v>52</v>
      </c>
      <c r="S591" s="55">
        <f t="shared" si="41"/>
        <v>931791.10386119981</v>
      </c>
      <c r="T591" s="53"/>
    </row>
    <row r="592" spans="1:20" x14ac:dyDescent="0.25">
      <c r="A592" s="26" t="s">
        <v>81</v>
      </c>
      <c r="B592" s="60" t="s">
        <v>13</v>
      </c>
      <c r="C592" s="60" t="s">
        <v>103</v>
      </c>
      <c r="D592" s="60" t="s">
        <v>190</v>
      </c>
      <c r="E592" s="60">
        <v>1</v>
      </c>
      <c r="F592" s="60" t="s">
        <v>1</v>
      </c>
      <c r="G592" s="72" t="s">
        <v>12</v>
      </c>
      <c r="H592" s="73">
        <v>3715543.5474999999</v>
      </c>
      <c r="I592" s="74">
        <v>1</v>
      </c>
      <c r="J592" s="29">
        <v>1000</v>
      </c>
      <c r="K592" s="29" t="s">
        <v>124</v>
      </c>
      <c r="L592" s="29">
        <v>15</v>
      </c>
      <c r="M592" s="29"/>
      <c r="N592" s="29"/>
      <c r="O592" s="29"/>
      <c r="P592" s="73">
        <f t="shared" si="36"/>
        <v>3715543.5474999999</v>
      </c>
      <c r="Q592" s="75" t="s">
        <v>52</v>
      </c>
      <c r="S592" s="55">
        <f t="shared" si="41"/>
        <v>1121796.9078611999</v>
      </c>
      <c r="T592" s="53"/>
    </row>
    <row r="593" spans="1:20" x14ac:dyDescent="0.25">
      <c r="A593" s="26" t="s">
        <v>81</v>
      </c>
      <c r="B593" s="60" t="s">
        <v>13</v>
      </c>
      <c r="C593" s="60" t="s">
        <v>103</v>
      </c>
      <c r="D593" s="60" t="s">
        <v>191</v>
      </c>
      <c r="E593" s="60">
        <v>1</v>
      </c>
      <c r="F593" s="60" t="s">
        <v>1</v>
      </c>
      <c r="G593" s="72" t="s">
        <v>12</v>
      </c>
      <c r="H593" s="73">
        <v>4715543.5475000003</v>
      </c>
      <c r="I593" s="74">
        <v>1</v>
      </c>
      <c r="J593" s="29">
        <v>1500</v>
      </c>
      <c r="K593" s="29" t="s">
        <v>124</v>
      </c>
      <c r="L593" s="29">
        <v>15</v>
      </c>
      <c r="M593" s="29"/>
      <c r="N593" s="29"/>
      <c r="O593" s="29"/>
      <c r="P593" s="73">
        <f t="shared" si="36"/>
        <v>4715543.5475000003</v>
      </c>
      <c r="Q593" s="75" t="s">
        <v>52</v>
      </c>
      <c r="S593" s="55">
        <f t="shared" si="41"/>
        <v>1423716.9078611999</v>
      </c>
      <c r="T593" s="53"/>
    </row>
    <row r="594" spans="1:20" x14ac:dyDescent="0.25">
      <c r="A594" s="26" t="s">
        <v>81</v>
      </c>
      <c r="B594" s="60" t="s">
        <v>13</v>
      </c>
      <c r="C594" s="60" t="s">
        <v>103</v>
      </c>
      <c r="D594" s="60" t="s">
        <v>192</v>
      </c>
      <c r="E594" s="60">
        <v>1</v>
      </c>
      <c r="F594" s="60" t="s">
        <v>1</v>
      </c>
      <c r="G594" s="72" t="s">
        <v>12</v>
      </c>
      <c r="H594" s="73">
        <v>5715543.5475000003</v>
      </c>
      <c r="I594" s="74">
        <v>1</v>
      </c>
      <c r="J594" s="29">
        <v>2500</v>
      </c>
      <c r="K594" s="29" t="s">
        <v>124</v>
      </c>
      <c r="L594" s="29">
        <v>15</v>
      </c>
      <c r="M594" s="29"/>
      <c r="N594" s="29"/>
      <c r="O594" s="29"/>
      <c r="P594" s="73">
        <f t="shared" si="36"/>
        <v>5715543.5475000003</v>
      </c>
      <c r="Q594" s="75" t="s">
        <v>52</v>
      </c>
      <c r="S594" s="55">
        <f t="shared" si="41"/>
        <v>1725636.9078611999</v>
      </c>
      <c r="T594" s="53"/>
    </row>
    <row r="595" spans="1:20" x14ac:dyDescent="0.25">
      <c r="A595" s="26" t="s">
        <v>81</v>
      </c>
      <c r="B595" s="60" t="s">
        <v>13</v>
      </c>
      <c r="C595" s="60" t="s">
        <v>103</v>
      </c>
      <c r="D595" s="60" t="s">
        <v>193</v>
      </c>
      <c r="E595" s="60">
        <v>2</v>
      </c>
      <c r="F595" s="60" t="s">
        <v>1</v>
      </c>
      <c r="G595" s="72" t="s">
        <v>12</v>
      </c>
      <c r="H595" s="73">
        <v>3086218.5474999999</v>
      </c>
      <c r="I595" s="74">
        <v>1</v>
      </c>
      <c r="J595" s="29">
        <v>500</v>
      </c>
      <c r="K595" s="29" t="s">
        <v>124</v>
      </c>
      <c r="L595" s="29">
        <v>25</v>
      </c>
      <c r="M595" s="29"/>
      <c r="N595" s="29"/>
      <c r="O595" s="29"/>
      <c r="P595" s="73">
        <f t="shared" si="36"/>
        <v>3086218.5474999999</v>
      </c>
      <c r="Q595" s="75" t="s">
        <v>52</v>
      </c>
      <c r="S595" s="55">
        <f t="shared" si="41"/>
        <v>931791.10386119981</v>
      </c>
      <c r="T595" s="53"/>
    </row>
    <row r="596" spans="1:20" x14ac:dyDescent="0.25">
      <c r="A596" s="26" t="s">
        <v>81</v>
      </c>
      <c r="B596" s="60" t="s">
        <v>13</v>
      </c>
      <c r="C596" s="60" t="s">
        <v>103</v>
      </c>
      <c r="D596" s="60" t="s">
        <v>194</v>
      </c>
      <c r="E596" s="60">
        <v>2</v>
      </c>
      <c r="F596" s="60" t="s">
        <v>1</v>
      </c>
      <c r="G596" s="72" t="s">
        <v>12</v>
      </c>
      <c r="H596" s="73">
        <v>3715543.5474999999</v>
      </c>
      <c r="I596" s="74">
        <v>1</v>
      </c>
      <c r="J596" s="29">
        <v>1000</v>
      </c>
      <c r="K596" s="29" t="s">
        <v>124</v>
      </c>
      <c r="L596" s="29">
        <v>25</v>
      </c>
      <c r="M596" s="29"/>
      <c r="N596" s="29"/>
      <c r="O596" s="29"/>
      <c r="P596" s="73">
        <f t="shared" si="36"/>
        <v>3715543.5474999999</v>
      </c>
      <c r="Q596" s="75" t="s">
        <v>52</v>
      </c>
      <c r="S596" s="55">
        <f t="shared" si="41"/>
        <v>1121796.9078611999</v>
      </c>
      <c r="T596" s="53"/>
    </row>
    <row r="597" spans="1:20" x14ac:dyDescent="0.25">
      <c r="A597" s="26" t="s">
        <v>81</v>
      </c>
      <c r="B597" s="60" t="s">
        <v>13</v>
      </c>
      <c r="C597" s="60" t="s">
        <v>103</v>
      </c>
      <c r="D597" s="60" t="s">
        <v>195</v>
      </c>
      <c r="E597" s="60">
        <v>2</v>
      </c>
      <c r="F597" s="60" t="s">
        <v>1</v>
      </c>
      <c r="G597" s="72" t="s">
        <v>12</v>
      </c>
      <c r="H597" s="73">
        <v>4715543.5475000003</v>
      </c>
      <c r="I597" s="74">
        <v>1</v>
      </c>
      <c r="J597" s="29">
        <v>1500</v>
      </c>
      <c r="K597" s="29" t="s">
        <v>124</v>
      </c>
      <c r="L597" s="29">
        <v>25</v>
      </c>
      <c r="M597" s="29"/>
      <c r="N597" s="29"/>
      <c r="O597" s="29"/>
      <c r="P597" s="73">
        <f t="shared" si="36"/>
        <v>4715543.5475000003</v>
      </c>
      <c r="Q597" s="75" t="s">
        <v>52</v>
      </c>
      <c r="S597" s="55">
        <f t="shared" si="41"/>
        <v>1423716.9078611999</v>
      </c>
      <c r="T597" s="53"/>
    </row>
    <row r="598" spans="1:20" x14ac:dyDescent="0.25">
      <c r="A598" s="26" t="s">
        <v>81</v>
      </c>
      <c r="B598" s="60" t="s">
        <v>13</v>
      </c>
      <c r="C598" s="60" t="s">
        <v>103</v>
      </c>
      <c r="D598" s="60" t="s">
        <v>196</v>
      </c>
      <c r="E598" s="60">
        <v>2</v>
      </c>
      <c r="F598" s="60" t="s">
        <v>1</v>
      </c>
      <c r="G598" s="72" t="s">
        <v>12</v>
      </c>
      <c r="H598" s="73">
        <v>5715543.5475000003</v>
      </c>
      <c r="I598" s="74">
        <v>1</v>
      </c>
      <c r="J598" s="29">
        <v>2500</v>
      </c>
      <c r="K598" s="29" t="s">
        <v>124</v>
      </c>
      <c r="L598" s="29">
        <v>25</v>
      </c>
      <c r="M598" s="29"/>
      <c r="N598" s="29"/>
      <c r="O598" s="29"/>
      <c r="P598" s="73">
        <f t="shared" si="36"/>
        <v>5715543.5475000003</v>
      </c>
      <c r="Q598" s="75" t="s">
        <v>52</v>
      </c>
      <c r="S598" s="55">
        <f t="shared" si="41"/>
        <v>1725636.9078611999</v>
      </c>
      <c r="T598" s="53"/>
    </row>
    <row r="599" spans="1:20" x14ac:dyDescent="0.25">
      <c r="A599" s="26" t="s">
        <v>81</v>
      </c>
      <c r="B599" s="60" t="s">
        <v>13</v>
      </c>
      <c r="C599" s="60" t="s">
        <v>103</v>
      </c>
      <c r="D599" s="60" t="s">
        <v>197</v>
      </c>
      <c r="E599" s="60">
        <v>2</v>
      </c>
      <c r="F599" s="60" t="s">
        <v>1</v>
      </c>
      <c r="G599" s="72" t="s">
        <v>12</v>
      </c>
      <c r="H599" s="73">
        <v>3086218.5474999999</v>
      </c>
      <c r="I599" s="74">
        <v>1</v>
      </c>
      <c r="J599" s="29">
        <v>500</v>
      </c>
      <c r="K599" s="29" t="s">
        <v>124</v>
      </c>
      <c r="L599" s="29">
        <v>15</v>
      </c>
      <c r="M599" s="29"/>
      <c r="N599" s="29"/>
      <c r="O599" s="29"/>
      <c r="P599" s="73">
        <f t="shared" ref="P599:P694" si="43">+I599*H599</f>
        <v>3086218.5474999999</v>
      </c>
      <c r="Q599" s="75" t="s">
        <v>52</v>
      </c>
      <c r="S599" s="55">
        <f t="shared" si="41"/>
        <v>931791.10386119981</v>
      </c>
      <c r="T599" s="53"/>
    </row>
    <row r="600" spans="1:20" x14ac:dyDescent="0.25">
      <c r="A600" s="26" t="s">
        <v>81</v>
      </c>
      <c r="B600" s="60" t="s">
        <v>13</v>
      </c>
      <c r="C600" s="60" t="s">
        <v>103</v>
      </c>
      <c r="D600" s="60" t="s">
        <v>198</v>
      </c>
      <c r="E600" s="60">
        <v>2</v>
      </c>
      <c r="F600" s="60" t="s">
        <v>1</v>
      </c>
      <c r="G600" s="72" t="s">
        <v>12</v>
      </c>
      <c r="H600" s="73">
        <v>3715543.5474999999</v>
      </c>
      <c r="I600" s="74">
        <v>1</v>
      </c>
      <c r="J600" s="29">
        <v>1000</v>
      </c>
      <c r="K600" s="29" t="s">
        <v>124</v>
      </c>
      <c r="L600" s="29">
        <v>15</v>
      </c>
      <c r="M600" s="29"/>
      <c r="N600" s="29"/>
      <c r="O600" s="29"/>
      <c r="P600" s="73">
        <f t="shared" si="43"/>
        <v>3715543.5474999999</v>
      </c>
      <c r="Q600" s="75" t="s">
        <v>52</v>
      </c>
      <c r="S600" s="55">
        <f t="shared" si="41"/>
        <v>1121796.9078611999</v>
      </c>
      <c r="T600" s="53"/>
    </row>
    <row r="601" spans="1:20" x14ac:dyDescent="0.25">
      <c r="A601" s="26" t="s">
        <v>81</v>
      </c>
      <c r="B601" s="60" t="s">
        <v>13</v>
      </c>
      <c r="C601" s="60" t="s">
        <v>103</v>
      </c>
      <c r="D601" s="60" t="s">
        <v>199</v>
      </c>
      <c r="E601" s="60">
        <v>2</v>
      </c>
      <c r="F601" s="60" t="s">
        <v>1</v>
      </c>
      <c r="G601" s="72" t="s">
        <v>12</v>
      </c>
      <c r="H601" s="73">
        <v>4715543.5475000003</v>
      </c>
      <c r="I601" s="74">
        <v>1</v>
      </c>
      <c r="J601" s="29">
        <v>1500</v>
      </c>
      <c r="K601" s="29" t="s">
        <v>124</v>
      </c>
      <c r="L601" s="29">
        <v>15</v>
      </c>
      <c r="M601" s="29"/>
      <c r="N601" s="29"/>
      <c r="O601" s="29"/>
      <c r="P601" s="73">
        <f t="shared" si="43"/>
        <v>4715543.5475000003</v>
      </c>
      <c r="Q601" s="75" t="s">
        <v>52</v>
      </c>
      <c r="S601" s="55">
        <f t="shared" si="41"/>
        <v>1423716.9078611999</v>
      </c>
      <c r="T601" s="53"/>
    </row>
    <row r="602" spans="1:20" x14ac:dyDescent="0.25">
      <c r="A602" s="26" t="s">
        <v>81</v>
      </c>
      <c r="B602" s="60" t="s">
        <v>13</v>
      </c>
      <c r="C602" s="60" t="s">
        <v>103</v>
      </c>
      <c r="D602" s="60" t="s">
        <v>200</v>
      </c>
      <c r="E602" s="60">
        <v>2</v>
      </c>
      <c r="F602" s="60" t="s">
        <v>1</v>
      </c>
      <c r="G602" s="72" t="s">
        <v>12</v>
      </c>
      <c r="H602" s="73">
        <v>5715543.5475000003</v>
      </c>
      <c r="I602" s="74">
        <v>1</v>
      </c>
      <c r="J602" s="29">
        <v>2500</v>
      </c>
      <c r="K602" s="29" t="s">
        <v>124</v>
      </c>
      <c r="L602" s="29">
        <v>15</v>
      </c>
      <c r="M602" s="29"/>
      <c r="N602" s="29"/>
      <c r="O602" s="29"/>
      <c r="P602" s="73">
        <f t="shared" si="43"/>
        <v>5715543.5475000003</v>
      </c>
      <c r="Q602" s="75" t="s">
        <v>52</v>
      </c>
      <c r="S602" s="55">
        <f t="shared" si="41"/>
        <v>1725636.9078611999</v>
      </c>
      <c r="T602" s="53"/>
    </row>
    <row r="603" spans="1:20" x14ac:dyDescent="0.25">
      <c r="A603" s="26" t="s">
        <v>81</v>
      </c>
      <c r="B603" s="60" t="s">
        <v>13</v>
      </c>
      <c r="C603" s="60" t="s">
        <v>103</v>
      </c>
      <c r="D603" s="60" t="s">
        <v>193</v>
      </c>
      <c r="E603" s="60">
        <v>3</v>
      </c>
      <c r="F603" s="60" t="s">
        <v>1</v>
      </c>
      <c r="G603" s="72" t="s">
        <v>12</v>
      </c>
      <c r="H603" s="73">
        <v>3086218.5474999999</v>
      </c>
      <c r="I603" s="74">
        <v>1</v>
      </c>
      <c r="J603" s="29">
        <v>500</v>
      </c>
      <c r="K603" s="29" t="s">
        <v>124</v>
      </c>
      <c r="L603" s="29">
        <v>25</v>
      </c>
      <c r="M603" s="29"/>
      <c r="N603" s="29"/>
      <c r="O603" s="29"/>
      <c r="P603" s="73">
        <f t="shared" si="43"/>
        <v>3086218.5474999999</v>
      </c>
      <c r="Q603" s="75" t="s">
        <v>52</v>
      </c>
      <c r="S603" s="55">
        <f t="shared" si="41"/>
        <v>931791.10386119981</v>
      </c>
      <c r="T603" s="53"/>
    </row>
    <row r="604" spans="1:20" x14ac:dyDescent="0.25">
      <c r="A604" s="26" t="s">
        <v>81</v>
      </c>
      <c r="B604" s="60" t="s">
        <v>13</v>
      </c>
      <c r="C604" s="60" t="s">
        <v>103</v>
      </c>
      <c r="D604" s="60" t="s">
        <v>194</v>
      </c>
      <c r="E604" s="60">
        <v>3</v>
      </c>
      <c r="F604" s="60" t="s">
        <v>1</v>
      </c>
      <c r="G604" s="72" t="s">
        <v>12</v>
      </c>
      <c r="H604" s="73">
        <v>3715543.5474999999</v>
      </c>
      <c r="I604" s="74">
        <v>1</v>
      </c>
      <c r="J604" s="29">
        <v>1000</v>
      </c>
      <c r="K604" s="29" t="s">
        <v>124</v>
      </c>
      <c r="L604" s="29">
        <v>25</v>
      </c>
      <c r="M604" s="29"/>
      <c r="N604" s="29"/>
      <c r="O604" s="29"/>
      <c r="P604" s="73">
        <f t="shared" si="43"/>
        <v>3715543.5474999999</v>
      </c>
      <c r="Q604" s="75" t="s">
        <v>52</v>
      </c>
      <c r="S604" s="55">
        <f t="shared" si="41"/>
        <v>1121796.9078611999</v>
      </c>
      <c r="T604" s="53"/>
    </row>
    <row r="605" spans="1:20" x14ac:dyDescent="0.25">
      <c r="A605" s="26" t="s">
        <v>81</v>
      </c>
      <c r="B605" s="60" t="s">
        <v>13</v>
      </c>
      <c r="C605" s="60" t="s">
        <v>103</v>
      </c>
      <c r="D605" s="60" t="s">
        <v>195</v>
      </c>
      <c r="E605" s="60">
        <v>3</v>
      </c>
      <c r="F605" s="60" t="s">
        <v>1</v>
      </c>
      <c r="G605" s="72" t="s">
        <v>12</v>
      </c>
      <c r="H605" s="73">
        <v>4715543.5475000003</v>
      </c>
      <c r="I605" s="74">
        <v>1</v>
      </c>
      <c r="J605" s="29">
        <v>1500</v>
      </c>
      <c r="K605" s="29" t="s">
        <v>124</v>
      </c>
      <c r="L605" s="29">
        <v>25</v>
      </c>
      <c r="M605" s="29"/>
      <c r="N605" s="29"/>
      <c r="O605" s="29"/>
      <c r="P605" s="73">
        <f t="shared" si="43"/>
        <v>4715543.5475000003</v>
      </c>
      <c r="Q605" s="75" t="s">
        <v>52</v>
      </c>
      <c r="S605" s="55">
        <f t="shared" si="41"/>
        <v>1423716.9078611999</v>
      </c>
      <c r="T605" s="53"/>
    </row>
    <row r="606" spans="1:20" x14ac:dyDescent="0.25">
      <c r="A606" s="26" t="s">
        <v>81</v>
      </c>
      <c r="B606" s="60" t="s">
        <v>13</v>
      </c>
      <c r="C606" s="60" t="s">
        <v>103</v>
      </c>
      <c r="D606" s="60" t="s">
        <v>196</v>
      </c>
      <c r="E606" s="60">
        <v>3</v>
      </c>
      <c r="F606" s="60" t="s">
        <v>1</v>
      </c>
      <c r="G606" s="72" t="s">
        <v>12</v>
      </c>
      <c r="H606" s="73">
        <v>5715543.5475000003</v>
      </c>
      <c r="I606" s="74">
        <v>1</v>
      </c>
      <c r="J606" s="29">
        <v>2500</v>
      </c>
      <c r="K606" s="29" t="s">
        <v>124</v>
      </c>
      <c r="L606" s="29">
        <v>25</v>
      </c>
      <c r="M606" s="29"/>
      <c r="N606" s="29"/>
      <c r="O606" s="29"/>
      <c r="P606" s="73">
        <f t="shared" si="43"/>
        <v>5715543.5475000003</v>
      </c>
      <c r="Q606" s="75" t="s">
        <v>52</v>
      </c>
      <c r="S606" s="55">
        <f t="shared" si="41"/>
        <v>1725636.9078611999</v>
      </c>
      <c r="T606" s="53"/>
    </row>
    <row r="607" spans="1:20" x14ac:dyDescent="0.25">
      <c r="A607" s="26" t="s">
        <v>81</v>
      </c>
      <c r="B607" s="60" t="s">
        <v>13</v>
      </c>
      <c r="C607" s="60" t="s">
        <v>103</v>
      </c>
      <c r="D607" s="60" t="s">
        <v>197</v>
      </c>
      <c r="E607" s="60">
        <v>3</v>
      </c>
      <c r="F607" s="60" t="s">
        <v>1</v>
      </c>
      <c r="G607" s="72" t="s">
        <v>12</v>
      </c>
      <c r="H607" s="73">
        <v>3086218.5474999999</v>
      </c>
      <c r="I607" s="74">
        <v>1</v>
      </c>
      <c r="J607" s="29">
        <v>500</v>
      </c>
      <c r="K607" s="29" t="s">
        <v>124</v>
      </c>
      <c r="L607" s="29">
        <v>15</v>
      </c>
      <c r="M607" s="29"/>
      <c r="N607" s="29"/>
      <c r="O607" s="29"/>
      <c r="P607" s="73">
        <f t="shared" ref="P607:P610" si="44">+I607*H607</f>
        <v>3086218.5474999999</v>
      </c>
      <c r="Q607" s="75" t="s">
        <v>52</v>
      </c>
      <c r="S607" s="55">
        <f t="shared" si="41"/>
        <v>931791.10386119981</v>
      </c>
      <c r="T607" s="53"/>
    </row>
    <row r="608" spans="1:20" x14ac:dyDescent="0.25">
      <c r="A608" s="26" t="s">
        <v>81</v>
      </c>
      <c r="B608" s="60" t="s">
        <v>13</v>
      </c>
      <c r="C608" s="60" t="s">
        <v>103</v>
      </c>
      <c r="D608" s="60" t="s">
        <v>198</v>
      </c>
      <c r="E608" s="60">
        <v>3</v>
      </c>
      <c r="F608" s="60" t="s">
        <v>1</v>
      </c>
      <c r="G608" s="72" t="s">
        <v>12</v>
      </c>
      <c r="H608" s="73">
        <v>3715543.5474999999</v>
      </c>
      <c r="I608" s="74">
        <v>1</v>
      </c>
      <c r="J608" s="29">
        <v>1000</v>
      </c>
      <c r="K608" s="29" t="s">
        <v>124</v>
      </c>
      <c r="L608" s="29">
        <v>15</v>
      </c>
      <c r="M608" s="29"/>
      <c r="N608" s="29"/>
      <c r="O608" s="29"/>
      <c r="P608" s="73">
        <f t="shared" si="44"/>
        <v>3715543.5474999999</v>
      </c>
      <c r="Q608" s="75" t="s">
        <v>52</v>
      </c>
      <c r="S608" s="55">
        <f t="shared" si="41"/>
        <v>1121796.9078611999</v>
      </c>
      <c r="T608" s="53"/>
    </row>
    <row r="609" spans="1:20" x14ac:dyDescent="0.25">
      <c r="A609" s="26" t="s">
        <v>81</v>
      </c>
      <c r="B609" s="60" t="s">
        <v>13</v>
      </c>
      <c r="C609" s="60" t="s">
        <v>103</v>
      </c>
      <c r="D609" s="60" t="s">
        <v>199</v>
      </c>
      <c r="E609" s="60">
        <v>3</v>
      </c>
      <c r="F609" s="60" t="s">
        <v>1</v>
      </c>
      <c r="G609" s="72" t="s">
        <v>12</v>
      </c>
      <c r="H609" s="73">
        <v>4715543.5475000003</v>
      </c>
      <c r="I609" s="74">
        <v>1</v>
      </c>
      <c r="J609" s="29">
        <v>1500</v>
      </c>
      <c r="K609" s="29" t="s">
        <v>124</v>
      </c>
      <c r="L609" s="29">
        <v>15</v>
      </c>
      <c r="M609" s="29"/>
      <c r="N609" s="29"/>
      <c r="O609" s="29"/>
      <c r="P609" s="73">
        <f t="shared" si="44"/>
        <v>4715543.5475000003</v>
      </c>
      <c r="Q609" s="75" t="s">
        <v>52</v>
      </c>
      <c r="S609" s="55">
        <f t="shared" si="41"/>
        <v>1423716.9078611999</v>
      </c>
      <c r="T609" s="53"/>
    </row>
    <row r="610" spans="1:20" x14ac:dyDescent="0.25">
      <c r="A610" s="26" t="s">
        <v>81</v>
      </c>
      <c r="B610" s="60" t="s">
        <v>13</v>
      </c>
      <c r="C610" s="60" t="s">
        <v>103</v>
      </c>
      <c r="D610" s="60" t="s">
        <v>200</v>
      </c>
      <c r="E610" s="60">
        <v>3</v>
      </c>
      <c r="F610" s="60" t="s">
        <v>1</v>
      </c>
      <c r="G610" s="72" t="s">
        <v>12</v>
      </c>
      <c r="H610" s="73">
        <v>5715543.5475000003</v>
      </c>
      <c r="I610" s="74">
        <v>1</v>
      </c>
      <c r="J610" s="29">
        <v>2500</v>
      </c>
      <c r="K610" s="29" t="s">
        <v>124</v>
      </c>
      <c r="L610" s="29">
        <v>15</v>
      </c>
      <c r="M610" s="29"/>
      <c r="N610" s="29"/>
      <c r="O610" s="29"/>
      <c r="P610" s="73">
        <f t="shared" si="44"/>
        <v>5715543.5475000003</v>
      </c>
      <c r="Q610" s="75" t="s">
        <v>52</v>
      </c>
      <c r="S610" s="55">
        <f t="shared" si="41"/>
        <v>1725636.9078611999</v>
      </c>
      <c r="T610" s="53"/>
    </row>
    <row r="611" spans="1:20" x14ac:dyDescent="0.25">
      <c r="A611" s="26" t="s">
        <v>81</v>
      </c>
      <c r="B611" s="60" t="s">
        <v>13</v>
      </c>
      <c r="C611" s="60" t="s">
        <v>104</v>
      </c>
      <c r="D611" s="60" t="s">
        <v>185</v>
      </c>
      <c r="E611" s="60">
        <v>1</v>
      </c>
      <c r="F611" s="60" t="s">
        <v>1</v>
      </c>
      <c r="G611" s="72" t="s">
        <v>12</v>
      </c>
      <c r="H611" s="73">
        <v>460286.44419999997</v>
      </c>
      <c r="I611" s="74">
        <v>1</v>
      </c>
      <c r="J611" s="29">
        <v>500</v>
      </c>
      <c r="K611" s="29" t="s">
        <v>124</v>
      </c>
      <c r="L611" s="29">
        <v>25</v>
      </c>
      <c r="M611" s="29"/>
      <c r="N611" s="29"/>
      <c r="O611" s="29"/>
      <c r="P611" s="73">
        <f t="shared" si="43"/>
        <v>460286.44419999997</v>
      </c>
      <c r="Q611" s="75" t="s">
        <v>52</v>
      </c>
      <c r="S611" s="55">
        <f t="shared" si="41"/>
        <v>138969.68323286399</v>
      </c>
      <c r="T611" s="53"/>
    </row>
    <row r="612" spans="1:20" x14ac:dyDescent="0.25">
      <c r="A612" s="26" t="s">
        <v>81</v>
      </c>
      <c r="B612" s="60" t="s">
        <v>13</v>
      </c>
      <c r="C612" s="60" t="s">
        <v>104</v>
      </c>
      <c r="D612" s="60" t="s">
        <v>186</v>
      </c>
      <c r="E612" s="60">
        <v>1</v>
      </c>
      <c r="F612" s="60" t="s">
        <v>1</v>
      </c>
      <c r="G612" s="72" t="s">
        <v>12</v>
      </c>
      <c r="H612" s="73">
        <v>460286.44419999997</v>
      </c>
      <c r="I612" s="74">
        <v>1</v>
      </c>
      <c r="J612" s="29">
        <v>1000</v>
      </c>
      <c r="K612" s="29" t="s">
        <v>124</v>
      </c>
      <c r="L612" s="29">
        <v>25</v>
      </c>
      <c r="M612" s="29"/>
      <c r="N612" s="29"/>
      <c r="O612" s="29"/>
      <c r="P612" s="73">
        <f t="shared" si="43"/>
        <v>460286.44419999997</v>
      </c>
      <c r="Q612" s="75" t="s">
        <v>52</v>
      </c>
      <c r="S612" s="55">
        <f t="shared" si="41"/>
        <v>138969.68323286399</v>
      </c>
      <c r="T612" s="53"/>
    </row>
    <row r="613" spans="1:20" x14ac:dyDescent="0.25">
      <c r="A613" s="26" t="s">
        <v>81</v>
      </c>
      <c r="B613" s="60" t="s">
        <v>13</v>
      </c>
      <c r="C613" s="60" t="s">
        <v>104</v>
      </c>
      <c r="D613" s="60" t="s">
        <v>187</v>
      </c>
      <c r="E613" s="60">
        <v>1</v>
      </c>
      <c r="F613" s="60" t="s">
        <v>1</v>
      </c>
      <c r="G613" s="72" t="s">
        <v>12</v>
      </c>
      <c r="H613" s="73">
        <v>460286.44419999997</v>
      </c>
      <c r="I613" s="74">
        <v>1</v>
      </c>
      <c r="J613" s="29">
        <v>1500</v>
      </c>
      <c r="K613" s="29" t="s">
        <v>124</v>
      </c>
      <c r="L613" s="29">
        <v>25</v>
      </c>
      <c r="M613" s="29"/>
      <c r="N613" s="29"/>
      <c r="O613" s="29"/>
      <c r="P613" s="73">
        <f t="shared" si="43"/>
        <v>460286.44419999997</v>
      </c>
      <c r="Q613" s="75" t="s">
        <v>52</v>
      </c>
      <c r="S613" s="55">
        <f t="shared" si="41"/>
        <v>138969.68323286399</v>
      </c>
      <c r="T613" s="53"/>
    </row>
    <row r="614" spans="1:20" x14ac:dyDescent="0.25">
      <c r="A614" s="26" t="s">
        <v>81</v>
      </c>
      <c r="B614" s="60" t="s">
        <v>13</v>
      </c>
      <c r="C614" s="60" t="s">
        <v>104</v>
      </c>
      <c r="D614" s="60" t="s">
        <v>188</v>
      </c>
      <c r="E614" s="60">
        <v>1</v>
      </c>
      <c r="F614" s="60" t="s">
        <v>1</v>
      </c>
      <c r="G614" s="72" t="s">
        <v>12</v>
      </c>
      <c r="H614" s="73">
        <v>460286.44419999997</v>
      </c>
      <c r="I614" s="74">
        <v>1</v>
      </c>
      <c r="J614" s="29">
        <v>2500</v>
      </c>
      <c r="K614" s="29" t="s">
        <v>124</v>
      </c>
      <c r="L614" s="29">
        <v>25</v>
      </c>
      <c r="M614" s="29"/>
      <c r="N614" s="29"/>
      <c r="O614" s="29"/>
      <c r="P614" s="73">
        <f t="shared" si="43"/>
        <v>460286.44419999997</v>
      </c>
      <c r="Q614" s="75" t="s">
        <v>52</v>
      </c>
      <c r="S614" s="55">
        <f t="shared" si="41"/>
        <v>138969.68323286399</v>
      </c>
      <c r="T614" s="53"/>
    </row>
    <row r="615" spans="1:20" x14ac:dyDescent="0.25">
      <c r="A615" s="26" t="s">
        <v>81</v>
      </c>
      <c r="B615" s="60" t="s">
        <v>13</v>
      </c>
      <c r="C615" s="60" t="s">
        <v>104</v>
      </c>
      <c r="D615" s="60" t="s">
        <v>189</v>
      </c>
      <c r="E615" s="60">
        <v>1</v>
      </c>
      <c r="F615" s="60" t="s">
        <v>1</v>
      </c>
      <c r="G615" s="72" t="s">
        <v>12</v>
      </c>
      <c r="H615" s="73">
        <v>501741.18971399998</v>
      </c>
      <c r="I615" s="74">
        <v>1</v>
      </c>
      <c r="J615" s="29">
        <v>500</v>
      </c>
      <c r="K615" s="29" t="s">
        <v>124</v>
      </c>
      <c r="L615" s="29">
        <v>15</v>
      </c>
      <c r="M615" s="29"/>
      <c r="N615" s="29"/>
      <c r="O615" s="29"/>
      <c r="P615" s="73">
        <f t="shared" si="43"/>
        <v>501741.18971399998</v>
      </c>
      <c r="Q615" s="75" t="s">
        <v>52</v>
      </c>
      <c r="S615" s="55">
        <f t="shared" si="41"/>
        <v>151485.69999845084</v>
      </c>
      <c r="T615" s="53"/>
    </row>
    <row r="616" spans="1:20" x14ac:dyDescent="0.25">
      <c r="A616" s="26" t="s">
        <v>81</v>
      </c>
      <c r="B616" s="60" t="s">
        <v>13</v>
      </c>
      <c r="C616" s="60" t="s">
        <v>104</v>
      </c>
      <c r="D616" s="60" t="s">
        <v>190</v>
      </c>
      <c r="E616" s="60">
        <v>1</v>
      </c>
      <c r="F616" s="60" t="s">
        <v>1</v>
      </c>
      <c r="G616" s="72" t="s">
        <v>12</v>
      </c>
      <c r="H616" s="73">
        <v>501741.18971399998</v>
      </c>
      <c r="I616" s="74">
        <v>1</v>
      </c>
      <c r="J616" s="29">
        <v>1000</v>
      </c>
      <c r="K616" s="29" t="s">
        <v>124</v>
      </c>
      <c r="L616" s="29">
        <v>15</v>
      </c>
      <c r="M616" s="29"/>
      <c r="N616" s="29"/>
      <c r="O616" s="29"/>
      <c r="P616" s="73">
        <f t="shared" si="43"/>
        <v>501741.18971399998</v>
      </c>
      <c r="Q616" s="75" t="s">
        <v>52</v>
      </c>
      <c r="S616" s="55">
        <f t="shared" si="41"/>
        <v>151485.69999845084</v>
      </c>
      <c r="T616" s="53"/>
    </row>
    <row r="617" spans="1:20" x14ac:dyDescent="0.25">
      <c r="A617" s="26" t="s">
        <v>81</v>
      </c>
      <c r="B617" s="60" t="s">
        <v>13</v>
      </c>
      <c r="C617" s="60" t="s">
        <v>104</v>
      </c>
      <c r="D617" s="60" t="s">
        <v>191</v>
      </c>
      <c r="E617" s="60">
        <v>1</v>
      </c>
      <c r="F617" s="60" t="s">
        <v>1</v>
      </c>
      <c r="G617" s="72" t="s">
        <v>12</v>
      </c>
      <c r="H617" s="73">
        <v>501741.18971399998</v>
      </c>
      <c r="I617" s="74">
        <v>1</v>
      </c>
      <c r="J617" s="29">
        <v>1500</v>
      </c>
      <c r="K617" s="29" t="s">
        <v>124</v>
      </c>
      <c r="L617" s="29">
        <v>15</v>
      </c>
      <c r="M617" s="29"/>
      <c r="N617" s="29"/>
      <c r="O617" s="29"/>
      <c r="P617" s="73">
        <f t="shared" si="43"/>
        <v>501741.18971399998</v>
      </c>
      <c r="Q617" s="75" t="s">
        <v>52</v>
      </c>
      <c r="S617" s="55">
        <f t="shared" si="41"/>
        <v>151485.69999845084</v>
      </c>
      <c r="T617" s="53"/>
    </row>
    <row r="618" spans="1:20" x14ac:dyDescent="0.25">
      <c r="A618" s="26" t="s">
        <v>81</v>
      </c>
      <c r="B618" s="60" t="s">
        <v>13</v>
      </c>
      <c r="C618" s="60" t="s">
        <v>104</v>
      </c>
      <c r="D618" s="60" t="s">
        <v>192</v>
      </c>
      <c r="E618" s="60">
        <v>1</v>
      </c>
      <c r="F618" s="60" t="s">
        <v>1</v>
      </c>
      <c r="G618" s="72" t="s">
        <v>12</v>
      </c>
      <c r="H618" s="73">
        <v>501741.18971399998</v>
      </c>
      <c r="I618" s="74">
        <v>1</v>
      </c>
      <c r="J618" s="29">
        <v>2500</v>
      </c>
      <c r="K618" s="29" t="s">
        <v>124</v>
      </c>
      <c r="L618" s="29">
        <v>15</v>
      </c>
      <c r="M618" s="29"/>
      <c r="N618" s="29"/>
      <c r="O618" s="29"/>
      <c r="P618" s="73">
        <f t="shared" si="43"/>
        <v>501741.18971399998</v>
      </c>
      <c r="Q618" s="75" t="s">
        <v>52</v>
      </c>
      <c r="S618" s="55">
        <f t="shared" si="41"/>
        <v>151485.69999845084</v>
      </c>
      <c r="T618" s="53"/>
    </row>
    <row r="619" spans="1:20" x14ac:dyDescent="0.25">
      <c r="A619" s="26" t="s">
        <v>81</v>
      </c>
      <c r="B619" s="60" t="s">
        <v>13</v>
      </c>
      <c r="C619" s="60" t="s">
        <v>104</v>
      </c>
      <c r="D619" s="60" t="s">
        <v>193</v>
      </c>
      <c r="E619" s="60">
        <v>2</v>
      </c>
      <c r="F619" s="60" t="s">
        <v>1</v>
      </c>
      <c r="G619" s="72" t="s">
        <v>12</v>
      </c>
      <c r="H619" s="73">
        <v>460286.44419999997</v>
      </c>
      <c r="I619" s="74">
        <v>1</v>
      </c>
      <c r="J619" s="29">
        <v>500</v>
      </c>
      <c r="K619" s="29" t="s">
        <v>124</v>
      </c>
      <c r="L619" s="29">
        <v>25</v>
      </c>
      <c r="M619" s="29"/>
      <c r="N619" s="29"/>
      <c r="O619" s="29"/>
      <c r="P619" s="73">
        <f t="shared" si="43"/>
        <v>460286.44419999997</v>
      </c>
      <c r="Q619" s="75" t="s">
        <v>52</v>
      </c>
      <c r="S619" s="55">
        <f t="shared" si="41"/>
        <v>138969.68323286399</v>
      </c>
      <c r="T619" s="53"/>
    </row>
    <row r="620" spans="1:20" x14ac:dyDescent="0.25">
      <c r="A620" s="26" t="s">
        <v>81</v>
      </c>
      <c r="B620" s="60" t="s">
        <v>13</v>
      </c>
      <c r="C620" s="60" t="s">
        <v>104</v>
      </c>
      <c r="D620" s="60" t="s">
        <v>194</v>
      </c>
      <c r="E620" s="60">
        <v>2</v>
      </c>
      <c r="F620" s="60" t="s">
        <v>1</v>
      </c>
      <c r="G620" s="72" t="s">
        <v>12</v>
      </c>
      <c r="H620" s="73">
        <v>460286.44419999997</v>
      </c>
      <c r="I620" s="74">
        <v>1</v>
      </c>
      <c r="J620" s="29">
        <v>1000</v>
      </c>
      <c r="K620" s="29" t="s">
        <v>124</v>
      </c>
      <c r="L620" s="29">
        <v>25</v>
      </c>
      <c r="M620" s="29"/>
      <c r="N620" s="29"/>
      <c r="O620" s="29"/>
      <c r="P620" s="73">
        <f t="shared" si="43"/>
        <v>460286.44419999997</v>
      </c>
      <c r="Q620" s="75" t="s">
        <v>52</v>
      </c>
      <c r="S620" s="55">
        <f t="shared" si="41"/>
        <v>138969.68323286399</v>
      </c>
      <c r="T620" s="53"/>
    </row>
    <row r="621" spans="1:20" x14ac:dyDescent="0.25">
      <c r="A621" s="26" t="s">
        <v>81</v>
      </c>
      <c r="B621" s="60" t="s">
        <v>13</v>
      </c>
      <c r="C621" s="60" t="s">
        <v>104</v>
      </c>
      <c r="D621" s="60" t="s">
        <v>195</v>
      </c>
      <c r="E621" s="60">
        <v>2</v>
      </c>
      <c r="F621" s="60" t="s">
        <v>1</v>
      </c>
      <c r="G621" s="72" t="s">
        <v>12</v>
      </c>
      <c r="H621" s="73">
        <v>460286.44419999997</v>
      </c>
      <c r="I621" s="74">
        <v>1</v>
      </c>
      <c r="J621" s="29">
        <v>1500</v>
      </c>
      <c r="K621" s="29" t="s">
        <v>124</v>
      </c>
      <c r="L621" s="29">
        <v>25</v>
      </c>
      <c r="M621" s="29"/>
      <c r="N621" s="29"/>
      <c r="O621" s="29"/>
      <c r="P621" s="73">
        <f t="shared" si="43"/>
        <v>460286.44419999997</v>
      </c>
      <c r="Q621" s="75" t="s">
        <v>52</v>
      </c>
      <c r="S621" s="55">
        <f t="shared" si="41"/>
        <v>138969.68323286399</v>
      </c>
      <c r="T621" s="53"/>
    </row>
    <row r="622" spans="1:20" x14ac:dyDescent="0.25">
      <c r="A622" s="26" t="s">
        <v>81</v>
      </c>
      <c r="B622" s="60" t="s">
        <v>13</v>
      </c>
      <c r="C622" s="60" t="s">
        <v>104</v>
      </c>
      <c r="D622" s="60" t="s">
        <v>196</v>
      </c>
      <c r="E622" s="60">
        <v>2</v>
      </c>
      <c r="F622" s="60" t="s">
        <v>1</v>
      </c>
      <c r="G622" s="72" t="s">
        <v>12</v>
      </c>
      <c r="H622" s="73">
        <v>460286.44419999997</v>
      </c>
      <c r="I622" s="74">
        <v>1</v>
      </c>
      <c r="J622" s="29">
        <v>2500</v>
      </c>
      <c r="K622" s="29" t="s">
        <v>124</v>
      </c>
      <c r="L622" s="29">
        <v>25</v>
      </c>
      <c r="M622" s="29"/>
      <c r="N622" s="29"/>
      <c r="O622" s="29"/>
      <c r="P622" s="73">
        <f t="shared" si="43"/>
        <v>460286.44419999997</v>
      </c>
      <c r="Q622" s="75" t="s">
        <v>52</v>
      </c>
      <c r="S622" s="55">
        <f t="shared" si="41"/>
        <v>138969.68323286399</v>
      </c>
      <c r="T622" s="53"/>
    </row>
    <row r="623" spans="1:20" x14ac:dyDescent="0.25">
      <c r="A623" s="26" t="s">
        <v>81</v>
      </c>
      <c r="B623" s="60" t="s">
        <v>13</v>
      </c>
      <c r="C623" s="60" t="s">
        <v>104</v>
      </c>
      <c r="D623" s="60" t="s">
        <v>197</v>
      </c>
      <c r="E623" s="60">
        <v>2</v>
      </c>
      <c r="F623" s="60" t="s">
        <v>1</v>
      </c>
      <c r="G623" s="72" t="s">
        <v>12</v>
      </c>
      <c r="H623" s="73">
        <v>501741.18971399998</v>
      </c>
      <c r="I623" s="74">
        <v>1</v>
      </c>
      <c r="J623" s="29">
        <v>500</v>
      </c>
      <c r="K623" s="29" t="s">
        <v>124</v>
      </c>
      <c r="L623" s="29">
        <v>15</v>
      </c>
      <c r="M623" s="29"/>
      <c r="N623" s="29"/>
      <c r="O623" s="29"/>
      <c r="P623" s="73">
        <f t="shared" si="43"/>
        <v>501741.18971399998</v>
      </c>
      <c r="Q623" s="75" t="s">
        <v>52</v>
      </c>
      <c r="S623" s="55">
        <f t="shared" si="41"/>
        <v>151485.69999845084</v>
      </c>
      <c r="T623" s="53"/>
    </row>
    <row r="624" spans="1:20" x14ac:dyDescent="0.25">
      <c r="A624" s="26" t="s">
        <v>81</v>
      </c>
      <c r="B624" s="60" t="s">
        <v>13</v>
      </c>
      <c r="C624" s="60" t="s">
        <v>104</v>
      </c>
      <c r="D624" s="60" t="s">
        <v>198</v>
      </c>
      <c r="E624" s="60">
        <v>2</v>
      </c>
      <c r="F624" s="60" t="s">
        <v>1</v>
      </c>
      <c r="G624" s="72" t="s">
        <v>12</v>
      </c>
      <c r="H624" s="73">
        <v>501741.18971399998</v>
      </c>
      <c r="I624" s="74">
        <v>1</v>
      </c>
      <c r="J624" s="29">
        <v>1000</v>
      </c>
      <c r="K624" s="29" t="s">
        <v>124</v>
      </c>
      <c r="L624" s="29">
        <v>15</v>
      </c>
      <c r="M624" s="29"/>
      <c r="N624" s="29"/>
      <c r="O624" s="29"/>
      <c r="P624" s="73">
        <f t="shared" si="43"/>
        <v>501741.18971399998</v>
      </c>
      <c r="Q624" s="75" t="s">
        <v>52</v>
      </c>
      <c r="S624" s="55">
        <f t="shared" si="41"/>
        <v>151485.69999845084</v>
      </c>
      <c r="T624" s="53"/>
    </row>
    <row r="625" spans="1:20" x14ac:dyDescent="0.25">
      <c r="A625" s="26" t="s">
        <v>81</v>
      </c>
      <c r="B625" s="60" t="s">
        <v>13</v>
      </c>
      <c r="C625" s="60" t="s">
        <v>104</v>
      </c>
      <c r="D625" s="60" t="s">
        <v>199</v>
      </c>
      <c r="E625" s="60">
        <v>2</v>
      </c>
      <c r="F625" s="60" t="s">
        <v>1</v>
      </c>
      <c r="G625" s="72" t="s">
        <v>12</v>
      </c>
      <c r="H625" s="73">
        <v>501741.18971399998</v>
      </c>
      <c r="I625" s="74">
        <v>1</v>
      </c>
      <c r="J625" s="29">
        <v>1500</v>
      </c>
      <c r="K625" s="29" t="s">
        <v>124</v>
      </c>
      <c r="L625" s="29">
        <v>15</v>
      </c>
      <c r="M625" s="29"/>
      <c r="N625" s="29"/>
      <c r="O625" s="29"/>
      <c r="P625" s="73">
        <f t="shared" si="43"/>
        <v>501741.18971399998</v>
      </c>
      <c r="Q625" s="75" t="s">
        <v>52</v>
      </c>
      <c r="S625" s="55">
        <f t="shared" si="41"/>
        <v>151485.69999845084</v>
      </c>
      <c r="T625" s="53"/>
    </row>
    <row r="626" spans="1:20" x14ac:dyDescent="0.25">
      <c r="A626" s="26" t="s">
        <v>81</v>
      </c>
      <c r="B626" s="60" t="s">
        <v>13</v>
      </c>
      <c r="C626" s="60" t="s">
        <v>104</v>
      </c>
      <c r="D626" s="60" t="s">
        <v>200</v>
      </c>
      <c r="E626" s="60">
        <v>2</v>
      </c>
      <c r="F626" s="60" t="s">
        <v>1</v>
      </c>
      <c r="G626" s="72" t="s">
        <v>12</v>
      </c>
      <c r="H626" s="73">
        <v>501741.18971399998</v>
      </c>
      <c r="I626" s="74">
        <v>1</v>
      </c>
      <c r="J626" s="29">
        <v>2500</v>
      </c>
      <c r="K626" s="29" t="s">
        <v>124</v>
      </c>
      <c r="L626" s="29">
        <v>15</v>
      </c>
      <c r="M626" s="29"/>
      <c r="N626" s="29"/>
      <c r="O626" s="29"/>
      <c r="P626" s="73">
        <f t="shared" si="43"/>
        <v>501741.18971399998</v>
      </c>
      <c r="Q626" s="75" t="s">
        <v>52</v>
      </c>
      <c r="S626" s="55">
        <f t="shared" si="41"/>
        <v>151485.69999845084</v>
      </c>
      <c r="T626" s="53"/>
    </row>
    <row r="627" spans="1:20" x14ac:dyDescent="0.25">
      <c r="A627" s="26" t="s">
        <v>81</v>
      </c>
      <c r="B627" s="60" t="s">
        <v>13</v>
      </c>
      <c r="C627" s="60" t="s">
        <v>104</v>
      </c>
      <c r="D627" s="60" t="s">
        <v>193</v>
      </c>
      <c r="E627" s="60">
        <v>3</v>
      </c>
      <c r="F627" s="60" t="s">
        <v>1</v>
      </c>
      <c r="G627" s="72" t="s">
        <v>12</v>
      </c>
      <c r="H627" s="73">
        <v>460286.44419999997</v>
      </c>
      <c r="I627" s="74">
        <v>1</v>
      </c>
      <c r="J627" s="29">
        <v>500</v>
      </c>
      <c r="K627" s="29" t="s">
        <v>124</v>
      </c>
      <c r="L627" s="29">
        <v>25</v>
      </c>
      <c r="M627" s="29"/>
      <c r="N627" s="29"/>
      <c r="O627" s="29"/>
      <c r="P627" s="73">
        <f t="shared" ref="P627:P634" si="45">+I627*H627</f>
        <v>460286.44419999997</v>
      </c>
      <c r="Q627" s="75" t="s">
        <v>52</v>
      </c>
      <c r="S627" s="55">
        <f t="shared" si="41"/>
        <v>138969.68323286399</v>
      </c>
      <c r="T627" s="53"/>
    </row>
    <row r="628" spans="1:20" x14ac:dyDescent="0.25">
      <c r="A628" s="26" t="s">
        <v>81</v>
      </c>
      <c r="B628" s="60" t="s">
        <v>13</v>
      </c>
      <c r="C628" s="60" t="s">
        <v>104</v>
      </c>
      <c r="D628" s="60" t="s">
        <v>194</v>
      </c>
      <c r="E628" s="60">
        <v>3</v>
      </c>
      <c r="F628" s="60" t="s">
        <v>1</v>
      </c>
      <c r="G628" s="72" t="s">
        <v>12</v>
      </c>
      <c r="H628" s="73">
        <v>460286.44419999997</v>
      </c>
      <c r="I628" s="74">
        <v>1</v>
      </c>
      <c r="J628" s="29">
        <v>1000</v>
      </c>
      <c r="K628" s="29" t="s">
        <v>124</v>
      </c>
      <c r="L628" s="29">
        <v>25</v>
      </c>
      <c r="M628" s="29"/>
      <c r="N628" s="29"/>
      <c r="O628" s="29"/>
      <c r="P628" s="73">
        <f t="shared" si="45"/>
        <v>460286.44419999997</v>
      </c>
      <c r="Q628" s="75" t="s">
        <v>52</v>
      </c>
      <c r="S628" s="55">
        <f t="shared" ref="S628:S634" si="46">+$T$275*H628*12/5*0.85</f>
        <v>138969.68323286399</v>
      </c>
      <c r="T628" s="53"/>
    </row>
    <row r="629" spans="1:20" x14ac:dyDescent="0.25">
      <c r="A629" s="26" t="s">
        <v>81</v>
      </c>
      <c r="B629" s="60" t="s">
        <v>13</v>
      </c>
      <c r="C629" s="60" t="s">
        <v>104</v>
      </c>
      <c r="D629" s="60" t="s">
        <v>195</v>
      </c>
      <c r="E629" s="60">
        <v>3</v>
      </c>
      <c r="F629" s="60" t="s">
        <v>1</v>
      </c>
      <c r="G629" s="72" t="s">
        <v>12</v>
      </c>
      <c r="H629" s="73">
        <v>460286.44419999997</v>
      </c>
      <c r="I629" s="74">
        <v>1</v>
      </c>
      <c r="J629" s="29">
        <v>1500</v>
      </c>
      <c r="K629" s="29" t="s">
        <v>124</v>
      </c>
      <c r="L629" s="29">
        <v>25</v>
      </c>
      <c r="M629" s="29"/>
      <c r="N629" s="29"/>
      <c r="O629" s="29"/>
      <c r="P629" s="73">
        <f t="shared" si="45"/>
        <v>460286.44419999997</v>
      </c>
      <c r="Q629" s="75" t="s">
        <v>52</v>
      </c>
      <c r="S629" s="55">
        <f t="shared" si="46"/>
        <v>138969.68323286399</v>
      </c>
      <c r="T629" s="53"/>
    </row>
    <row r="630" spans="1:20" x14ac:dyDescent="0.25">
      <c r="A630" s="26" t="s">
        <v>81</v>
      </c>
      <c r="B630" s="60" t="s">
        <v>13</v>
      </c>
      <c r="C630" s="60" t="s">
        <v>104</v>
      </c>
      <c r="D630" s="60" t="s">
        <v>196</v>
      </c>
      <c r="E630" s="60">
        <v>3</v>
      </c>
      <c r="F630" s="60" t="s">
        <v>1</v>
      </c>
      <c r="G630" s="72" t="s">
        <v>12</v>
      </c>
      <c r="H630" s="73">
        <v>460286.44419999997</v>
      </c>
      <c r="I630" s="74">
        <v>1</v>
      </c>
      <c r="J630" s="29">
        <v>2500</v>
      </c>
      <c r="K630" s="29" t="s">
        <v>124</v>
      </c>
      <c r="L630" s="29">
        <v>25</v>
      </c>
      <c r="M630" s="29"/>
      <c r="N630" s="29"/>
      <c r="O630" s="29"/>
      <c r="P630" s="73">
        <f t="shared" si="45"/>
        <v>460286.44419999997</v>
      </c>
      <c r="Q630" s="75" t="s">
        <v>52</v>
      </c>
      <c r="S630" s="55">
        <f t="shared" si="46"/>
        <v>138969.68323286399</v>
      </c>
      <c r="T630" s="53"/>
    </row>
    <row r="631" spans="1:20" x14ac:dyDescent="0.25">
      <c r="A631" s="26" t="s">
        <v>81</v>
      </c>
      <c r="B631" s="60" t="s">
        <v>13</v>
      </c>
      <c r="C631" s="60" t="s">
        <v>104</v>
      </c>
      <c r="D631" s="60" t="s">
        <v>197</v>
      </c>
      <c r="E631" s="60">
        <v>3</v>
      </c>
      <c r="F631" s="60" t="s">
        <v>1</v>
      </c>
      <c r="G631" s="72" t="s">
        <v>12</v>
      </c>
      <c r="H631" s="73">
        <v>501741.18971399998</v>
      </c>
      <c r="I631" s="74">
        <v>1</v>
      </c>
      <c r="J631" s="29">
        <v>500</v>
      </c>
      <c r="K631" s="29" t="s">
        <v>124</v>
      </c>
      <c r="L631" s="29">
        <v>15</v>
      </c>
      <c r="M631" s="29"/>
      <c r="N631" s="29"/>
      <c r="O631" s="29"/>
      <c r="P631" s="73">
        <f t="shared" si="45"/>
        <v>501741.18971399998</v>
      </c>
      <c r="Q631" s="75" t="s">
        <v>52</v>
      </c>
      <c r="S631" s="55">
        <f t="shared" si="46"/>
        <v>151485.69999845084</v>
      </c>
      <c r="T631" s="53"/>
    </row>
    <row r="632" spans="1:20" x14ac:dyDescent="0.25">
      <c r="A632" s="26" t="s">
        <v>81</v>
      </c>
      <c r="B632" s="60" t="s">
        <v>13</v>
      </c>
      <c r="C632" s="60" t="s">
        <v>104</v>
      </c>
      <c r="D632" s="60" t="s">
        <v>198</v>
      </c>
      <c r="E632" s="60">
        <v>3</v>
      </c>
      <c r="F632" s="60" t="s">
        <v>1</v>
      </c>
      <c r="G632" s="72" t="s">
        <v>12</v>
      </c>
      <c r="H632" s="73">
        <v>501741.18971399998</v>
      </c>
      <c r="I632" s="74">
        <v>1</v>
      </c>
      <c r="J632" s="29">
        <v>1000</v>
      </c>
      <c r="K632" s="29" t="s">
        <v>124</v>
      </c>
      <c r="L632" s="29">
        <v>15</v>
      </c>
      <c r="M632" s="29"/>
      <c r="N632" s="29"/>
      <c r="O632" s="29"/>
      <c r="P632" s="73">
        <f t="shared" si="45"/>
        <v>501741.18971399998</v>
      </c>
      <c r="Q632" s="75" t="s">
        <v>52</v>
      </c>
      <c r="S632" s="55">
        <f t="shared" si="46"/>
        <v>151485.69999845084</v>
      </c>
      <c r="T632" s="53"/>
    </row>
    <row r="633" spans="1:20" x14ac:dyDescent="0.25">
      <c r="A633" s="26" t="s">
        <v>81</v>
      </c>
      <c r="B633" s="60" t="s">
        <v>13</v>
      </c>
      <c r="C633" s="60" t="s">
        <v>104</v>
      </c>
      <c r="D633" s="60" t="s">
        <v>199</v>
      </c>
      <c r="E633" s="60">
        <v>3</v>
      </c>
      <c r="F633" s="60" t="s">
        <v>1</v>
      </c>
      <c r="G633" s="72" t="s">
        <v>12</v>
      </c>
      <c r="H633" s="73">
        <v>501741.18971399998</v>
      </c>
      <c r="I633" s="74">
        <v>1</v>
      </c>
      <c r="J633" s="29">
        <v>1500</v>
      </c>
      <c r="K633" s="29" t="s">
        <v>124</v>
      </c>
      <c r="L633" s="29">
        <v>15</v>
      </c>
      <c r="M633" s="29"/>
      <c r="N633" s="29"/>
      <c r="O633" s="29"/>
      <c r="P633" s="73">
        <f t="shared" si="45"/>
        <v>501741.18971399998</v>
      </c>
      <c r="Q633" s="75" t="s">
        <v>52</v>
      </c>
      <c r="S633" s="55">
        <f t="shared" si="46"/>
        <v>151485.69999845084</v>
      </c>
      <c r="T633" s="53"/>
    </row>
    <row r="634" spans="1:20" x14ac:dyDescent="0.25">
      <c r="A634" s="26" t="s">
        <v>81</v>
      </c>
      <c r="B634" s="60" t="s">
        <v>13</v>
      </c>
      <c r="C634" s="60" t="s">
        <v>104</v>
      </c>
      <c r="D634" s="60" t="s">
        <v>200</v>
      </c>
      <c r="E634" s="60">
        <v>3</v>
      </c>
      <c r="F634" s="60" t="s">
        <v>1</v>
      </c>
      <c r="G634" s="72" t="s">
        <v>12</v>
      </c>
      <c r="H634" s="73">
        <v>501741.18971399998</v>
      </c>
      <c r="I634" s="74">
        <v>1</v>
      </c>
      <c r="J634" s="29">
        <v>2500</v>
      </c>
      <c r="K634" s="29" t="s">
        <v>124</v>
      </c>
      <c r="L634" s="29">
        <v>15</v>
      </c>
      <c r="M634" s="29"/>
      <c r="N634" s="29"/>
      <c r="O634" s="29"/>
      <c r="P634" s="73">
        <f t="shared" si="45"/>
        <v>501741.18971399998</v>
      </c>
      <c r="Q634" s="75" t="s">
        <v>52</v>
      </c>
      <c r="S634" s="55">
        <f t="shared" si="46"/>
        <v>151485.69999845084</v>
      </c>
      <c r="T634" s="53"/>
    </row>
    <row r="635" spans="1:20" x14ac:dyDescent="0.25">
      <c r="A635" s="26" t="s">
        <v>81</v>
      </c>
      <c r="B635" s="60" t="s">
        <v>13</v>
      </c>
      <c r="C635" s="60" t="s">
        <v>105</v>
      </c>
      <c r="D635" s="60" t="s">
        <v>185</v>
      </c>
      <c r="E635" s="60">
        <v>1</v>
      </c>
      <c r="F635" s="60" t="s">
        <v>1</v>
      </c>
      <c r="G635" s="72" t="s">
        <v>12</v>
      </c>
      <c r="H635" s="73">
        <v>494190</v>
      </c>
      <c r="I635" s="74">
        <v>1</v>
      </c>
      <c r="J635" s="29">
        <v>500</v>
      </c>
      <c r="K635" s="29" t="s">
        <v>124</v>
      </c>
      <c r="L635" s="29">
        <v>25</v>
      </c>
      <c r="M635" s="29"/>
      <c r="N635" s="29"/>
      <c r="O635" s="29"/>
      <c r="P635" s="73">
        <f t="shared" si="43"/>
        <v>494190</v>
      </c>
      <c r="Q635" s="75" t="s">
        <v>52</v>
      </c>
      <c r="S635" s="2">
        <f>+$T$347*H635*12*0.85</f>
        <v>136099.92600000001</v>
      </c>
      <c r="T635" s="15">
        <v>2.7E-2</v>
      </c>
    </row>
    <row r="636" spans="1:20" x14ac:dyDescent="0.25">
      <c r="A636" s="26" t="s">
        <v>81</v>
      </c>
      <c r="B636" s="60" t="s">
        <v>13</v>
      </c>
      <c r="C636" s="60" t="s">
        <v>105</v>
      </c>
      <c r="D636" s="60" t="s">
        <v>186</v>
      </c>
      <c r="E636" s="60">
        <v>1</v>
      </c>
      <c r="F636" s="60" t="s">
        <v>1</v>
      </c>
      <c r="G636" s="72" t="s">
        <v>12</v>
      </c>
      <c r="H636" s="73">
        <v>2048711.6666666667</v>
      </c>
      <c r="I636" s="74">
        <v>1</v>
      </c>
      <c r="J636" s="29">
        <v>1000</v>
      </c>
      <c r="K636" s="29" t="s">
        <v>124</v>
      </c>
      <c r="L636" s="29">
        <v>25</v>
      </c>
      <c r="M636" s="29"/>
      <c r="N636" s="29"/>
      <c r="O636" s="29"/>
      <c r="P636" s="73">
        <f t="shared" si="43"/>
        <v>2048711.6666666667</v>
      </c>
      <c r="Q636" s="75" t="s">
        <v>52</v>
      </c>
      <c r="S636" s="2">
        <f t="shared" ref="S636:S658" si="47">+$T$347*H636*12*0.85</f>
        <v>564215.19300000009</v>
      </c>
    </row>
    <row r="637" spans="1:20" x14ac:dyDescent="0.25">
      <c r="A637" s="26" t="s">
        <v>81</v>
      </c>
      <c r="B637" s="60" t="s">
        <v>13</v>
      </c>
      <c r="C637" s="60" t="s">
        <v>105</v>
      </c>
      <c r="D637" s="60" t="s">
        <v>187</v>
      </c>
      <c r="E637" s="60">
        <v>1</v>
      </c>
      <c r="F637" s="60" t="s">
        <v>1</v>
      </c>
      <c r="G637" s="72" t="s">
        <v>12</v>
      </c>
      <c r="H637" s="73">
        <v>3480068.3333333335</v>
      </c>
      <c r="I637" s="74">
        <v>1</v>
      </c>
      <c r="J637" s="29">
        <v>1500</v>
      </c>
      <c r="K637" s="29" t="s">
        <v>124</v>
      </c>
      <c r="L637" s="29">
        <v>25</v>
      </c>
      <c r="M637" s="29"/>
      <c r="N637" s="29"/>
      <c r="O637" s="29"/>
      <c r="P637" s="73">
        <f t="shared" si="43"/>
        <v>3480068.3333333335</v>
      </c>
      <c r="Q637" s="75" t="s">
        <v>52</v>
      </c>
      <c r="S637" s="2">
        <f t="shared" si="47"/>
        <v>958410.81900000013</v>
      </c>
    </row>
    <row r="638" spans="1:20" x14ac:dyDescent="0.25">
      <c r="A638" s="26" t="s">
        <v>81</v>
      </c>
      <c r="B638" s="60" t="s">
        <v>13</v>
      </c>
      <c r="C638" s="60" t="s">
        <v>105</v>
      </c>
      <c r="D638" s="60" t="s">
        <v>188</v>
      </c>
      <c r="E638" s="60">
        <v>1</v>
      </c>
      <c r="F638" s="60" t="s">
        <v>1</v>
      </c>
      <c r="G638" s="72" t="s">
        <v>12</v>
      </c>
      <c r="H638" s="73">
        <v>4646735</v>
      </c>
      <c r="I638" s="74">
        <v>1</v>
      </c>
      <c r="J638" s="29">
        <v>2500</v>
      </c>
      <c r="K638" s="29" t="s">
        <v>124</v>
      </c>
      <c r="L638" s="29">
        <v>25</v>
      </c>
      <c r="M638" s="29"/>
      <c r="N638" s="29"/>
      <c r="O638" s="29"/>
      <c r="P638" s="73">
        <f t="shared" si="43"/>
        <v>4646735</v>
      </c>
      <c r="Q638" s="75" t="s">
        <v>52</v>
      </c>
      <c r="S638" s="2">
        <f t="shared" si="47"/>
        <v>1279710.8190000001</v>
      </c>
    </row>
    <row r="639" spans="1:20" x14ac:dyDescent="0.25">
      <c r="A639" s="26" t="s">
        <v>81</v>
      </c>
      <c r="B639" s="60" t="s">
        <v>13</v>
      </c>
      <c r="C639" s="60" t="s">
        <v>105</v>
      </c>
      <c r="D639" s="60" t="s">
        <v>189</v>
      </c>
      <c r="E639" s="60">
        <v>1</v>
      </c>
      <c r="F639" s="60" t="s">
        <v>1</v>
      </c>
      <c r="G639" s="72" t="s">
        <v>12</v>
      </c>
      <c r="H639" s="73">
        <v>494190</v>
      </c>
      <c r="I639" s="74">
        <v>1</v>
      </c>
      <c r="J639" s="29">
        <v>500</v>
      </c>
      <c r="K639" s="29" t="s">
        <v>124</v>
      </c>
      <c r="L639" s="29">
        <v>15</v>
      </c>
      <c r="M639" s="29"/>
      <c r="N639" s="29"/>
      <c r="O639" s="29"/>
      <c r="P639" s="73">
        <f t="shared" si="43"/>
        <v>494190</v>
      </c>
      <c r="Q639" s="75" t="s">
        <v>52</v>
      </c>
      <c r="S639" s="2">
        <f t="shared" si="47"/>
        <v>136099.92600000001</v>
      </c>
    </row>
    <row r="640" spans="1:20" x14ac:dyDescent="0.25">
      <c r="A640" s="26" t="s">
        <v>81</v>
      </c>
      <c r="B640" s="60" t="s">
        <v>13</v>
      </c>
      <c r="C640" s="60" t="s">
        <v>105</v>
      </c>
      <c r="D640" s="60" t="s">
        <v>190</v>
      </c>
      <c r="E640" s="60">
        <v>1</v>
      </c>
      <c r="F640" s="60" t="s">
        <v>1</v>
      </c>
      <c r="G640" s="72" t="s">
        <v>12</v>
      </c>
      <c r="H640" s="73">
        <v>2048711.6666666667</v>
      </c>
      <c r="I640" s="74">
        <v>1</v>
      </c>
      <c r="J640" s="29">
        <v>1000</v>
      </c>
      <c r="K640" s="29" t="s">
        <v>124</v>
      </c>
      <c r="L640" s="29">
        <v>15</v>
      </c>
      <c r="M640" s="29"/>
      <c r="N640" s="29"/>
      <c r="O640" s="29"/>
      <c r="P640" s="73">
        <f t="shared" si="43"/>
        <v>2048711.6666666667</v>
      </c>
      <c r="Q640" s="75" t="s">
        <v>52</v>
      </c>
      <c r="S640" s="2">
        <f t="shared" si="47"/>
        <v>564215.19300000009</v>
      </c>
    </row>
    <row r="641" spans="1:19" x14ac:dyDescent="0.25">
      <c r="A641" s="26" t="s">
        <v>81</v>
      </c>
      <c r="B641" s="60" t="s">
        <v>13</v>
      </c>
      <c r="C641" s="60" t="s">
        <v>105</v>
      </c>
      <c r="D641" s="60" t="s">
        <v>191</v>
      </c>
      <c r="E641" s="60">
        <v>1</v>
      </c>
      <c r="F641" s="60" t="s">
        <v>1</v>
      </c>
      <c r="G641" s="72" t="s">
        <v>12</v>
      </c>
      <c r="H641" s="73">
        <v>3480068.3333333335</v>
      </c>
      <c r="I641" s="74">
        <v>1</v>
      </c>
      <c r="J641" s="29">
        <v>1500</v>
      </c>
      <c r="K641" s="29" t="s">
        <v>124</v>
      </c>
      <c r="L641" s="29">
        <v>15</v>
      </c>
      <c r="M641" s="29"/>
      <c r="N641" s="29"/>
      <c r="O641" s="29"/>
      <c r="P641" s="73">
        <f t="shared" si="43"/>
        <v>3480068.3333333335</v>
      </c>
      <c r="Q641" s="75" t="s">
        <v>52</v>
      </c>
      <c r="S641" s="2">
        <f t="shared" si="47"/>
        <v>958410.81900000013</v>
      </c>
    </row>
    <row r="642" spans="1:19" x14ac:dyDescent="0.25">
      <c r="A642" s="26" t="s">
        <v>81</v>
      </c>
      <c r="B642" s="60" t="s">
        <v>13</v>
      </c>
      <c r="C642" s="60" t="s">
        <v>105</v>
      </c>
      <c r="D642" s="60" t="s">
        <v>192</v>
      </c>
      <c r="E642" s="60">
        <v>1</v>
      </c>
      <c r="F642" s="60" t="s">
        <v>1</v>
      </c>
      <c r="G642" s="72" t="s">
        <v>12</v>
      </c>
      <c r="H642" s="73">
        <v>4646735</v>
      </c>
      <c r="I642" s="74">
        <v>1</v>
      </c>
      <c r="J642" s="29">
        <v>2500</v>
      </c>
      <c r="K642" s="29" t="s">
        <v>124</v>
      </c>
      <c r="L642" s="29">
        <v>15</v>
      </c>
      <c r="M642" s="29"/>
      <c r="N642" s="29"/>
      <c r="O642" s="29"/>
      <c r="P642" s="73">
        <f t="shared" si="43"/>
        <v>4646735</v>
      </c>
      <c r="Q642" s="75" t="s">
        <v>52</v>
      </c>
      <c r="S642" s="2">
        <f t="shared" si="47"/>
        <v>1279710.8190000001</v>
      </c>
    </row>
    <row r="643" spans="1:19" x14ac:dyDescent="0.25">
      <c r="A643" s="26" t="s">
        <v>81</v>
      </c>
      <c r="B643" s="60" t="s">
        <v>13</v>
      </c>
      <c r="C643" s="60" t="s">
        <v>105</v>
      </c>
      <c r="D643" s="60" t="s">
        <v>193</v>
      </c>
      <c r="E643" s="60">
        <v>2</v>
      </c>
      <c r="F643" s="60" t="s">
        <v>1</v>
      </c>
      <c r="G643" s="72" t="s">
        <v>12</v>
      </c>
      <c r="H643" s="73">
        <v>1442447</v>
      </c>
      <c r="I643" s="74">
        <v>1</v>
      </c>
      <c r="J643" s="29">
        <v>500</v>
      </c>
      <c r="K643" s="29" t="s">
        <v>124</v>
      </c>
      <c r="L643" s="29">
        <v>25</v>
      </c>
      <c r="M643" s="29"/>
      <c r="N643" s="29"/>
      <c r="O643" s="29"/>
      <c r="P643" s="73">
        <f t="shared" si="43"/>
        <v>1442447</v>
      </c>
      <c r="Q643" s="75" t="s">
        <v>52</v>
      </c>
      <c r="S643" s="2">
        <f t="shared" si="47"/>
        <v>397249.90380000003</v>
      </c>
    </row>
    <row r="644" spans="1:19" x14ac:dyDescent="0.25">
      <c r="A644" s="26" t="s">
        <v>81</v>
      </c>
      <c r="B644" s="60" t="s">
        <v>13</v>
      </c>
      <c r="C644" s="60" t="s">
        <v>105</v>
      </c>
      <c r="D644" s="60" t="s">
        <v>194</v>
      </c>
      <c r="E644" s="60">
        <v>2</v>
      </c>
      <c r="F644" s="60" t="s">
        <v>1</v>
      </c>
      <c r="G644" s="72" t="s">
        <v>12</v>
      </c>
      <c r="H644" s="73">
        <v>4179991.8333333335</v>
      </c>
      <c r="I644" s="74">
        <v>1</v>
      </c>
      <c r="J644" s="29">
        <v>1000</v>
      </c>
      <c r="K644" s="29" t="s">
        <v>124</v>
      </c>
      <c r="L644" s="29">
        <v>25</v>
      </c>
      <c r="M644" s="29"/>
      <c r="N644" s="29"/>
      <c r="O644" s="29"/>
      <c r="P644" s="73">
        <f t="shared" si="43"/>
        <v>4179991.8333333335</v>
      </c>
      <c r="Q644" s="75" t="s">
        <v>52</v>
      </c>
      <c r="S644" s="2">
        <f t="shared" si="47"/>
        <v>1151169.7509000001</v>
      </c>
    </row>
    <row r="645" spans="1:19" x14ac:dyDescent="0.25">
      <c r="A645" s="26" t="s">
        <v>81</v>
      </c>
      <c r="B645" s="60" t="s">
        <v>13</v>
      </c>
      <c r="C645" s="60" t="s">
        <v>105</v>
      </c>
      <c r="D645" s="60" t="s">
        <v>195</v>
      </c>
      <c r="E645" s="60">
        <v>2</v>
      </c>
      <c r="F645" s="60" t="s">
        <v>1</v>
      </c>
      <c r="G645" s="72" t="s">
        <v>12</v>
      </c>
      <c r="H645" s="73">
        <v>7157422.166666667</v>
      </c>
      <c r="I645" s="74">
        <v>1</v>
      </c>
      <c r="J645" s="29">
        <v>1500</v>
      </c>
      <c r="K645" s="29" t="s">
        <v>124</v>
      </c>
      <c r="L645" s="29">
        <v>25</v>
      </c>
      <c r="M645" s="29"/>
      <c r="N645" s="29"/>
      <c r="O645" s="29"/>
      <c r="P645" s="73">
        <f t="shared" si="43"/>
        <v>7157422.166666667</v>
      </c>
      <c r="Q645" s="75" t="s">
        <v>52</v>
      </c>
      <c r="S645" s="2">
        <f t="shared" si="47"/>
        <v>1971154.0647</v>
      </c>
    </row>
    <row r="646" spans="1:19" x14ac:dyDescent="0.25">
      <c r="A646" s="26" t="s">
        <v>81</v>
      </c>
      <c r="B646" s="60" t="s">
        <v>13</v>
      </c>
      <c r="C646" s="60" t="s">
        <v>105</v>
      </c>
      <c r="D646" s="60" t="s">
        <v>196</v>
      </c>
      <c r="E646" s="60">
        <v>2</v>
      </c>
      <c r="F646" s="60" t="s">
        <v>1</v>
      </c>
      <c r="G646" s="72" t="s">
        <v>12</v>
      </c>
      <c r="H646" s="73">
        <v>10590755.5</v>
      </c>
      <c r="I646" s="74">
        <v>1</v>
      </c>
      <c r="J646" s="29">
        <v>2500</v>
      </c>
      <c r="K646" s="29" t="s">
        <v>124</v>
      </c>
      <c r="L646" s="29">
        <v>25</v>
      </c>
      <c r="M646" s="29"/>
      <c r="N646" s="29"/>
      <c r="O646" s="29"/>
      <c r="P646" s="73">
        <f t="shared" si="43"/>
        <v>10590755.5</v>
      </c>
      <c r="Q646" s="75" t="s">
        <v>52</v>
      </c>
      <c r="S646" s="2">
        <f t="shared" si="47"/>
        <v>2916694.0647</v>
      </c>
    </row>
    <row r="647" spans="1:19" x14ac:dyDescent="0.25">
      <c r="A647" s="26" t="s">
        <v>81</v>
      </c>
      <c r="B647" s="60" t="s">
        <v>13</v>
      </c>
      <c r="C647" s="60" t="s">
        <v>105</v>
      </c>
      <c r="D647" s="60" t="s">
        <v>197</v>
      </c>
      <c r="E647" s="60">
        <v>2</v>
      </c>
      <c r="F647" s="60" t="s">
        <v>1</v>
      </c>
      <c r="G647" s="72" t="s">
        <v>12</v>
      </c>
      <c r="H647" s="73">
        <v>1442447</v>
      </c>
      <c r="I647" s="74">
        <v>1</v>
      </c>
      <c r="J647" s="29">
        <v>500</v>
      </c>
      <c r="K647" s="29" t="s">
        <v>124</v>
      </c>
      <c r="L647" s="29">
        <v>15</v>
      </c>
      <c r="M647" s="29"/>
      <c r="N647" s="29"/>
      <c r="O647" s="29"/>
      <c r="P647" s="73">
        <f t="shared" si="43"/>
        <v>1442447</v>
      </c>
      <c r="Q647" s="75" t="s">
        <v>52</v>
      </c>
      <c r="S647" s="2">
        <f t="shared" si="47"/>
        <v>397249.90380000003</v>
      </c>
    </row>
    <row r="648" spans="1:19" x14ac:dyDescent="0.25">
      <c r="A648" s="26" t="s">
        <v>81</v>
      </c>
      <c r="B648" s="60" t="s">
        <v>13</v>
      </c>
      <c r="C648" s="60" t="s">
        <v>105</v>
      </c>
      <c r="D648" s="60" t="s">
        <v>198</v>
      </c>
      <c r="E648" s="60">
        <v>2</v>
      </c>
      <c r="F648" s="60" t="s">
        <v>1</v>
      </c>
      <c r="G648" s="72" t="s">
        <v>12</v>
      </c>
      <c r="H648" s="73">
        <v>4179991.8333333335</v>
      </c>
      <c r="I648" s="74">
        <v>1</v>
      </c>
      <c r="J648" s="29">
        <v>1000</v>
      </c>
      <c r="K648" s="29" t="s">
        <v>124</v>
      </c>
      <c r="L648" s="29">
        <v>15</v>
      </c>
      <c r="M648" s="29"/>
      <c r="N648" s="29"/>
      <c r="O648" s="29"/>
      <c r="P648" s="73">
        <f t="shared" si="43"/>
        <v>4179991.8333333335</v>
      </c>
      <c r="Q648" s="75" t="s">
        <v>52</v>
      </c>
      <c r="S648" s="2">
        <f t="shared" si="47"/>
        <v>1151169.7509000001</v>
      </c>
    </row>
    <row r="649" spans="1:19" x14ac:dyDescent="0.25">
      <c r="A649" s="26" t="s">
        <v>81</v>
      </c>
      <c r="B649" s="60" t="s">
        <v>13</v>
      </c>
      <c r="C649" s="60" t="s">
        <v>105</v>
      </c>
      <c r="D649" s="60" t="s">
        <v>199</v>
      </c>
      <c r="E649" s="60">
        <v>2</v>
      </c>
      <c r="F649" s="60" t="s">
        <v>1</v>
      </c>
      <c r="G649" s="72" t="s">
        <v>12</v>
      </c>
      <c r="H649" s="73">
        <v>7157422.166666667</v>
      </c>
      <c r="I649" s="74">
        <v>1</v>
      </c>
      <c r="J649" s="29">
        <v>1500</v>
      </c>
      <c r="K649" s="29" t="s">
        <v>124</v>
      </c>
      <c r="L649" s="29">
        <v>15</v>
      </c>
      <c r="M649" s="29"/>
      <c r="N649" s="29"/>
      <c r="O649" s="29"/>
      <c r="P649" s="73">
        <f t="shared" si="43"/>
        <v>7157422.166666667</v>
      </c>
      <c r="Q649" s="75" t="s">
        <v>52</v>
      </c>
      <c r="S649" s="2">
        <f t="shared" si="47"/>
        <v>1971154.0647</v>
      </c>
    </row>
    <row r="650" spans="1:19" x14ac:dyDescent="0.25">
      <c r="A650" s="26" t="s">
        <v>81</v>
      </c>
      <c r="B650" s="60" t="s">
        <v>13</v>
      </c>
      <c r="C650" s="60" t="s">
        <v>105</v>
      </c>
      <c r="D650" s="60" t="s">
        <v>200</v>
      </c>
      <c r="E650" s="60">
        <v>2</v>
      </c>
      <c r="F650" s="60" t="s">
        <v>1</v>
      </c>
      <c r="G650" s="72" t="s">
        <v>12</v>
      </c>
      <c r="H650" s="73">
        <v>10590755.5</v>
      </c>
      <c r="I650" s="74">
        <v>1</v>
      </c>
      <c r="J650" s="29">
        <v>2500</v>
      </c>
      <c r="K650" s="29" t="s">
        <v>124</v>
      </c>
      <c r="L650" s="29">
        <v>15</v>
      </c>
      <c r="M650" s="29"/>
      <c r="N650" s="29"/>
      <c r="O650" s="29"/>
      <c r="P650" s="73">
        <f t="shared" si="43"/>
        <v>10590755.5</v>
      </c>
      <c r="Q650" s="75" t="s">
        <v>52</v>
      </c>
      <c r="S650" s="2">
        <f t="shared" si="47"/>
        <v>2916694.0647</v>
      </c>
    </row>
    <row r="651" spans="1:19" x14ac:dyDescent="0.25">
      <c r="A651" s="26" t="s">
        <v>81</v>
      </c>
      <c r="B651" s="60" t="s">
        <v>13</v>
      </c>
      <c r="C651" s="60" t="s">
        <v>105</v>
      </c>
      <c r="D651" s="60" t="s">
        <v>193</v>
      </c>
      <c r="E651" s="60">
        <v>3</v>
      </c>
      <c r="F651" s="60" t="s">
        <v>1</v>
      </c>
      <c r="G651" s="72" t="s">
        <v>12</v>
      </c>
      <c r="H651" s="73">
        <v>1442447</v>
      </c>
      <c r="I651" s="74">
        <v>1</v>
      </c>
      <c r="J651" s="29">
        <v>500</v>
      </c>
      <c r="K651" s="29" t="s">
        <v>124</v>
      </c>
      <c r="L651" s="29">
        <v>25</v>
      </c>
      <c r="M651" s="29"/>
      <c r="N651" s="29"/>
      <c r="O651" s="29"/>
      <c r="P651" s="73">
        <f t="shared" ref="P651:P658" si="48">+I651*H651</f>
        <v>1442447</v>
      </c>
      <c r="Q651" s="75" t="s">
        <v>52</v>
      </c>
      <c r="S651" s="2">
        <f t="shared" si="47"/>
        <v>397249.90380000003</v>
      </c>
    </row>
    <row r="652" spans="1:19" x14ac:dyDescent="0.25">
      <c r="A652" s="26" t="s">
        <v>81</v>
      </c>
      <c r="B652" s="60" t="s">
        <v>13</v>
      </c>
      <c r="C652" s="60" t="s">
        <v>105</v>
      </c>
      <c r="D652" s="60" t="s">
        <v>194</v>
      </c>
      <c r="E652" s="60">
        <v>3</v>
      </c>
      <c r="F652" s="60" t="s">
        <v>1</v>
      </c>
      <c r="G652" s="72" t="s">
        <v>12</v>
      </c>
      <c r="H652" s="73">
        <v>4179991.8333333335</v>
      </c>
      <c r="I652" s="74">
        <v>1</v>
      </c>
      <c r="J652" s="29">
        <v>1000</v>
      </c>
      <c r="K652" s="29" t="s">
        <v>124</v>
      </c>
      <c r="L652" s="29">
        <v>25</v>
      </c>
      <c r="M652" s="29"/>
      <c r="N652" s="29"/>
      <c r="O652" s="29"/>
      <c r="P652" s="73">
        <f t="shared" si="48"/>
        <v>4179991.8333333335</v>
      </c>
      <c r="Q652" s="75" t="s">
        <v>52</v>
      </c>
      <c r="S652" s="2">
        <f t="shared" si="47"/>
        <v>1151169.7509000001</v>
      </c>
    </row>
    <row r="653" spans="1:19" x14ac:dyDescent="0.25">
      <c r="A653" s="26" t="s">
        <v>81</v>
      </c>
      <c r="B653" s="60" t="s">
        <v>13</v>
      </c>
      <c r="C653" s="60" t="s">
        <v>105</v>
      </c>
      <c r="D653" s="60" t="s">
        <v>195</v>
      </c>
      <c r="E653" s="60">
        <v>3</v>
      </c>
      <c r="F653" s="60" t="s">
        <v>1</v>
      </c>
      <c r="G653" s="72" t="s">
        <v>12</v>
      </c>
      <c r="H653" s="73">
        <v>7157422.166666667</v>
      </c>
      <c r="I653" s="74">
        <v>1</v>
      </c>
      <c r="J653" s="29">
        <v>1500</v>
      </c>
      <c r="K653" s="29" t="s">
        <v>124</v>
      </c>
      <c r="L653" s="29">
        <v>25</v>
      </c>
      <c r="M653" s="29"/>
      <c r="N653" s="29"/>
      <c r="O653" s="29"/>
      <c r="P653" s="73">
        <f t="shared" si="48"/>
        <v>7157422.166666667</v>
      </c>
      <c r="Q653" s="75" t="s">
        <v>52</v>
      </c>
      <c r="S653" s="2">
        <f t="shared" si="47"/>
        <v>1971154.0647</v>
      </c>
    </row>
    <row r="654" spans="1:19" x14ac:dyDescent="0.25">
      <c r="A654" s="26" t="s">
        <v>81</v>
      </c>
      <c r="B654" s="60" t="s">
        <v>13</v>
      </c>
      <c r="C654" s="60" t="s">
        <v>105</v>
      </c>
      <c r="D654" s="60" t="s">
        <v>196</v>
      </c>
      <c r="E654" s="60">
        <v>3</v>
      </c>
      <c r="F654" s="60" t="s">
        <v>1</v>
      </c>
      <c r="G654" s="72" t="s">
        <v>12</v>
      </c>
      <c r="H654" s="73">
        <v>10590755.5</v>
      </c>
      <c r="I654" s="74">
        <v>1</v>
      </c>
      <c r="J654" s="29">
        <v>2500</v>
      </c>
      <c r="K654" s="29" t="s">
        <v>124</v>
      </c>
      <c r="L654" s="29">
        <v>25</v>
      </c>
      <c r="M654" s="29"/>
      <c r="N654" s="29"/>
      <c r="O654" s="29"/>
      <c r="P654" s="73">
        <f t="shared" si="48"/>
        <v>10590755.5</v>
      </c>
      <c r="Q654" s="75" t="s">
        <v>52</v>
      </c>
      <c r="S654" s="2">
        <f t="shared" si="47"/>
        <v>2916694.0647</v>
      </c>
    </row>
    <row r="655" spans="1:19" x14ac:dyDescent="0.25">
      <c r="A655" s="26" t="s">
        <v>81</v>
      </c>
      <c r="B655" s="60" t="s">
        <v>13</v>
      </c>
      <c r="C655" s="60" t="s">
        <v>105</v>
      </c>
      <c r="D655" s="60" t="s">
        <v>197</v>
      </c>
      <c r="E655" s="60">
        <v>3</v>
      </c>
      <c r="F655" s="60" t="s">
        <v>1</v>
      </c>
      <c r="G655" s="72" t="s">
        <v>12</v>
      </c>
      <c r="H655" s="73">
        <v>1442447</v>
      </c>
      <c r="I655" s="74">
        <v>1</v>
      </c>
      <c r="J655" s="29">
        <v>500</v>
      </c>
      <c r="K655" s="29" t="s">
        <v>124</v>
      </c>
      <c r="L655" s="29">
        <v>15</v>
      </c>
      <c r="M655" s="29"/>
      <c r="N655" s="29"/>
      <c r="O655" s="29"/>
      <c r="P655" s="73">
        <f t="shared" si="48"/>
        <v>1442447</v>
      </c>
      <c r="Q655" s="75" t="s">
        <v>52</v>
      </c>
      <c r="S655" s="2">
        <f t="shared" si="47"/>
        <v>397249.90380000003</v>
      </c>
    </row>
    <row r="656" spans="1:19" x14ac:dyDescent="0.25">
      <c r="A656" s="26" t="s">
        <v>81</v>
      </c>
      <c r="B656" s="60" t="s">
        <v>13</v>
      </c>
      <c r="C656" s="60" t="s">
        <v>105</v>
      </c>
      <c r="D656" s="60" t="s">
        <v>198</v>
      </c>
      <c r="E656" s="60">
        <v>3</v>
      </c>
      <c r="F656" s="60" t="s">
        <v>1</v>
      </c>
      <c r="G656" s="72" t="s">
        <v>12</v>
      </c>
      <c r="H656" s="73">
        <v>4179991.8333333335</v>
      </c>
      <c r="I656" s="74">
        <v>1</v>
      </c>
      <c r="J656" s="29">
        <v>1000</v>
      </c>
      <c r="K656" s="29" t="s">
        <v>124</v>
      </c>
      <c r="L656" s="29">
        <v>15</v>
      </c>
      <c r="M656" s="29"/>
      <c r="N656" s="29"/>
      <c r="O656" s="29"/>
      <c r="P656" s="73">
        <f t="shared" si="48"/>
        <v>4179991.8333333335</v>
      </c>
      <c r="Q656" s="75" t="s">
        <v>52</v>
      </c>
      <c r="S656" s="2">
        <f t="shared" si="47"/>
        <v>1151169.7509000001</v>
      </c>
    </row>
    <row r="657" spans="1:20" x14ac:dyDescent="0.25">
      <c r="A657" s="26" t="s">
        <v>81</v>
      </c>
      <c r="B657" s="60" t="s">
        <v>13</v>
      </c>
      <c r="C657" s="60" t="s">
        <v>105</v>
      </c>
      <c r="D657" s="60" t="s">
        <v>199</v>
      </c>
      <c r="E657" s="60">
        <v>3</v>
      </c>
      <c r="F657" s="60" t="s">
        <v>1</v>
      </c>
      <c r="G657" s="72" t="s">
        <v>12</v>
      </c>
      <c r="H657" s="73">
        <v>7157422.166666667</v>
      </c>
      <c r="I657" s="74">
        <v>1</v>
      </c>
      <c r="J657" s="29">
        <v>1500</v>
      </c>
      <c r="K657" s="29" t="s">
        <v>124</v>
      </c>
      <c r="L657" s="29">
        <v>15</v>
      </c>
      <c r="M657" s="29"/>
      <c r="N657" s="29"/>
      <c r="O657" s="29"/>
      <c r="P657" s="73">
        <f t="shared" si="48"/>
        <v>7157422.166666667</v>
      </c>
      <c r="Q657" s="75" t="s">
        <v>52</v>
      </c>
      <c r="S657" s="2">
        <f t="shared" si="47"/>
        <v>1971154.0647</v>
      </c>
    </row>
    <row r="658" spans="1:20" x14ac:dyDescent="0.25">
      <c r="A658" s="26" t="s">
        <v>81</v>
      </c>
      <c r="B658" s="60" t="s">
        <v>13</v>
      </c>
      <c r="C658" s="60" t="s">
        <v>105</v>
      </c>
      <c r="D658" s="60" t="s">
        <v>200</v>
      </c>
      <c r="E658" s="60">
        <v>3</v>
      </c>
      <c r="F658" s="60" t="s">
        <v>1</v>
      </c>
      <c r="G658" s="72" t="s">
        <v>12</v>
      </c>
      <c r="H658" s="73">
        <v>10590755.5</v>
      </c>
      <c r="I658" s="74">
        <v>1</v>
      </c>
      <c r="J658" s="29">
        <v>2500</v>
      </c>
      <c r="K658" s="29" t="s">
        <v>124</v>
      </c>
      <c r="L658" s="29">
        <v>15</v>
      </c>
      <c r="M658" s="29"/>
      <c r="N658" s="29"/>
      <c r="O658" s="29"/>
      <c r="P658" s="73">
        <f t="shared" si="48"/>
        <v>10590755.5</v>
      </c>
      <c r="Q658" s="75" t="s">
        <v>52</v>
      </c>
      <c r="S658" s="2">
        <f t="shared" si="47"/>
        <v>2916694.0647</v>
      </c>
    </row>
    <row r="659" spans="1:20" x14ac:dyDescent="0.25">
      <c r="A659" s="26" t="s">
        <v>81</v>
      </c>
      <c r="B659" s="60" t="s">
        <v>13</v>
      </c>
      <c r="C659" s="60" t="s">
        <v>106</v>
      </c>
      <c r="D659" s="60" t="s">
        <v>185</v>
      </c>
      <c r="E659" s="60">
        <v>1</v>
      </c>
      <c r="F659" s="60" t="s">
        <v>1</v>
      </c>
      <c r="G659" s="72" t="s">
        <v>12</v>
      </c>
      <c r="H659" s="73">
        <v>1079896.6666666656</v>
      </c>
      <c r="I659" s="74">
        <v>1</v>
      </c>
      <c r="J659" s="29">
        <v>500</v>
      </c>
      <c r="K659" s="29" t="s">
        <v>124</v>
      </c>
      <c r="L659" s="29">
        <v>25</v>
      </c>
      <c r="M659" s="29"/>
      <c r="N659" s="29"/>
      <c r="O659" s="29"/>
      <c r="P659" s="73">
        <f t="shared" si="43"/>
        <v>1079896.6666666656</v>
      </c>
      <c r="Q659" s="75" t="s">
        <v>52</v>
      </c>
      <c r="S659" s="56">
        <f>+$T$371*H659*12*0.85</f>
        <v>649881.81399999862</v>
      </c>
      <c r="T659" s="15">
        <f>1-SUM(T443:T658)</f>
        <v>5.8999999999999941E-2</v>
      </c>
    </row>
    <row r="660" spans="1:20" x14ac:dyDescent="0.25">
      <c r="A660" s="26" t="s">
        <v>81</v>
      </c>
      <c r="B660" s="60" t="s">
        <v>13</v>
      </c>
      <c r="C660" s="60" t="s">
        <v>106</v>
      </c>
      <c r="D660" s="60" t="s">
        <v>186</v>
      </c>
      <c r="E660" s="60">
        <v>1</v>
      </c>
      <c r="F660" s="60" t="s">
        <v>1</v>
      </c>
      <c r="G660" s="72" t="s">
        <v>12</v>
      </c>
      <c r="H660" s="73">
        <v>2198098.3333333316</v>
      </c>
      <c r="I660" s="74">
        <v>1</v>
      </c>
      <c r="J660" s="29">
        <v>1000</v>
      </c>
      <c r="K660" s="29" t="s">
        <v>124</v>
      </c>
      <c r="L660" s="29">
        <v>25</v>
      </c>
      <c r="M660" s="29"/>
      <c r="N660" s="29"/>
      <c r="O660" s="29"/>
      <c r="P660" s="73">
        <f t="shared" si="43"/>
        <v>2198098.3333333316</v>
      </c>
      <c r="Q660" s="75" t="s">
        <v>52</v>
      </c>
      <c r="S660" s="56">
        <f t="shared" ref="S660:S682" si="49">+$T$371*H660*12*0.85</f>
        <v>1322815.5769999977</v>
      </c>
    </row>
    <row r="661" spans="1:20" x14ac:dyDescent="0.25">
      <c r="A661" s="26" t="s">
        <v>81</v>
      </c>
      <c r="B661" s="60" t="s">
        <v>13</v>
      </c>
      <c r="C661" s="60" t="s">
        <v>106</v>
      </c>
      <c r="D661" s="60" t="s">
        <v>187</v>
      </c>
      <c r="E661" s="60">
        <v>1</v>
      </c>
      <c r="F661" s="60" t="s">
        <v>1</v>
      </c>
      <c r="G661" s="72" t="s">
        <v>12</v>
      </c>
      <c r="H661" s="73">
        <v>5047161.6666666642</v>
      </c>
      <c r="I661" s="74">
        <v>1</v>
      </c>
      <c r="J661" s="29">
        <v>1500</v>
      </c>
      <c r="K661" s="29" t="s">
        <v>124</v>
      </c>
      <c r="L661" s="29">
        <v>25</v>
      </c>
      <c r="M661" s="29"/>
      <c r="N661" s="29"/>
      <c r="O661" s="29"/>
      <c r="P661" s="73">
        <f t="shared" si="43"/>
        <v>5047161.6666666642</v>
      </c>
      <c r="Q661" s="75" t="s">
        <v>52</v>
      </c>
      <c r="S661" s="56">
        <f t="shared" si="49"/>
        <v>3037381.8909999952</v>
      </c>
    </row>
    <row r="662" spans="1:20" x14ac:dyDescent="0.25">
      <c r="A662" s="26" t="s">
        <v>81</v>
      </c>
      <c r="B662" s="60" t="s">
        <v>13</v>
      </c>
      <c r="C662" s="60" t="s">
        <v>106</v>
      </c>
      <c r="D662" s="60" t="s">
        <v>188</v>
      </c>
      <c r="E662" s="60">
        <v>1</v>
      </c>
      <c r="F662" s="60" t="s">
        <v>1</v>
      </c>
      <c r="G662" s="72" t="s">
        <v>12</v>
      </c>
      <c r="H662" s="73">
        <v>6317828.3333333312</v>
      </c>
      <c r="I662" s="74">
        <v>1</v>
      </c>
      <c r="J662" s="29">
        <v>2500</v>
      </c>
      <c r="K662" s="29" t="s">
        <v>124</v>
      </c>
      <c r="L662" s="29">
        <v>25</v>
      </c>
      <c r="M662" s="29"/>
      <c r="N662" s="29"/>
      <c r="O662" s="29"/>
      <c r="P662" s="73">
        <f t="shared" si="43"/>
        <v>6317828.3333333312</v>
      </c>
      <c r="Q662" s="75" t="s">
        <v>52</v>
      </c>
      <c r="S662" s="56">
        <f t="shared" si="49"/>
        <v>3802069.0909999949</v>
      </c>
    </row>
    <row r="663" spans="1:20" x14ac:dyDescent="0.25">
      <c r="A663" s="26" t="s">
        <v>81</v>
      </c>
      <c r="B663" s="60" t="s">
        <v>13</v>
      </c>
      <c r="C663" s="60" t="s">
        <v>106</v>
      </c>
      <c r="D663" s="60" t="s">
        <v>189</v>
      </c>
      <c r="E663" s="60">
        <v>1</v>
      </c>
      <c r="F663" s="60" t="s">
        <v>1</v>
      </c>
      <c r="G663" s="72" t="s">
        <v>12</v>
      </c>
      <c r="H663" s="73">
        <v>1079896.6666666656</v>
      </c>
      <c r="I663" s="74">
        <v>1</v>
      </c>
      <c r="J663" s="29">
        <v>500</v>
      </c>
      <c r="K663" s="29" t="s">
        <v>124</v>
      </c>
      <c r="L663" s="29">
        <v>15</v>
      </c>
      <c r="M663" s="29"/>
      <c r="N663" s="29"/>
      <c r="O663" s="29"/>
      <c r="P663" s="73">
        <f t="shared" si="43"/>
        <v>1079896.6666666656</v>
      </c>
      <c r="Q663" s="75" t="s">
        <v>52</v>
      </c>
      <c r="S663" s="56">
        <f t="shared" si="49"/>
        <v>649881.81399999862</v>
      </c>
    </row>
    <row r="664" spans="1:20" x14ac:dyDescent="0.25">
      <c r="A664" s="26" t="s">
        <v>81</v>
      </c>
      <c r="B664" s="60" t="s">
        <v>13</v>
      </c>
      <c r="C664" s="60" t="s">
        <v>106</v>
      </c>
      <c r="D664" s="60" t="s">
        <v>190</v>
      </c>
      <c r="E664" s="60">
        <v>1</v>
      </c>
      <c r="F664" s="60" t="s">
        <v>1</v>
      </c>
      <c r="G664" s="72" t="s">
        <v>12</v>
      </c>
      <c r="H664" s="73">
        <v>2198098.3333333316</v>
      </c>
      <c r="I664" s="74">
        <v>1</v>
      </c>
      <c r="J664" s="29">
        <v>1000</v>
      </c>
      <c r="K664" s="29" t="s">
        <v>124</v>
      </c>
      <c r="L664" s="29">
        <v>15</v>
      </c>
      <c r="M664" s="29"/>
      <c r="N664" s="29"/>
      <c r="O664" s="29"/>
      <c r="P664" s="73">
        <f t="shared" si="43"/>
        <v>2198098.3333333316</v>
      </c>
      <c r="Q664" s="75" t="s">
        <v>52</v>
      </c>
      <c r="S664" s="56">
        <f t="shared" si="49"/>
        <v>1322815.5769999977</v>
      </c>
    </row>
    <row r="665" spans="1:20" x14ac:dyDescent="0.25">
      <c r="A665" s="26" t="s">
        <v>81</v>
      </c>
      <c r="B665" s="60" t="s">
        <v>13</v>
      </c>
      <c r="C665" s="60" t="s">
        <v>106</v>
      </c>
      <c r="D665" s="60" t="s">
        <v>191</v>
      </c>
      <c r="E665" s="60">
        <v>1</v>
      </c>
      <c r="F665" s="60" t="s">
        <v>1</v>
      </c>
      <c r="G665" s="72" t="s">
        <v>12</v>
      </c>
      <c r="H665" s="73">
        <v>5047161.6666666642</v>
      </c>
      <c r="I665" s="74">
        <v>1</v>
      </c>
      <c r="J665" s="29">
        <v>1500</v>
      </c>
      <c r="K665" s="29" t="s">
        <v>124</v>
      </c>
      <c r="L665" s="29">
        <v>15</v>
      </c>
      <c r="M665" s="29"/>
      <c r="N665" s="29"/>
      <c r="O665" s="29"/>
      <c r="P665" s="73">
        <f t="shared" si="43"/>
        <v>5047161.6666666642</v>
      </c>
      <c r="Q665" s="75" t="s">
        <v>52</v>
      </c>
      <c r="S665" s="56">
        <f t="shared" si="49"/>
        <v>3037381.8909999952</v>
      </c>
    </row>
    <row r="666" spans="1:20" x14ac:dyDescent="0.25">
      <c r="A666" s="26" t="s">
        <v>81</v>
      </c>
      <c r="B666" s="60" t="s">
        <v>13</v>
      </c>
      <c r="C666" s="60" t="s">
        <v>106</v>
      </c>
      <c r="D666" s="60" t="s">
        <v>192</v>
      </c>
      <c r="E666" s="60">
        <v>1</v>
      </c>
      <c r="F666" s="60" t="s">
        <v>1</v>
      </c>
      <c r="G666" s="72" t="s">
        <v>12</v>
      </c>
      <c r="H666" s="73">
        <v>6317828.3333333312</v>
      </c>
      <c r="I666" s="74">
        <v>1</v>
      </c>
      <c r="J666" s="29">
        <v>2500</v>
      </c>
      <c r="K666" s="29" t="s">
        <v>124</v>
      </c>
      <c r="L666" s="29">
        <v>15</v>
      </c>
      <c r="M666" s="29"/>
      <c r="N666" s="29"/>
      <c r="O666" s="29"/>
      <c r="P666" s="73">
        <f t="shared" si="43"/>
        <v>6317828.3333333312</v>
      </c>
      <c r="Q666" s="75" t="s">
        <v>52</v>
      </c>
      <c r="S666" s="56">
        <f t="shared" si="49"/>
        <v>3802069.0909999949</v>
      </c>
    </row>
    <row r="667" spans="1:20" x14ac:dyDescent="0.25">
      <c r="A667" s="26" t="s">
        <v>81</v>
      </c>
      <c r="B667" s="60" t="s">
        <v>13</v>
      </c>
      <c r="C667" s="60" t="s">
        <v>106</v>
      </c>
      <c r="D667" s="60" t="s">
        <v>193</v>
      </c>
      <c r="E667" s="60">
        <v>2</v>
      </c>
      <c r="F667" s="60" t="s">
        <v>1</v>
      </c>
      <c r="G667" s="72" t="s">
        <v>12</v>
      </c>
      <c r="H667" s="73">
        <v>1674532.3333333319</v>
      </c>
      <c r="I667" s="74">
        <v>1</v>
      </c>
      <c r="J667" s="29">
        <v>500</v>
      </c>
      <c r="K667" s="29" t="s">
        <v>124</v>
      </c>
      <c r="L667" s="29">
        <v>25</v>
      </c>
      <c r="M667" s="29"/>
      <c r="N667" s="29"/>
      <c r="O667" s="29"/>
      <c r="P667" s="73">
        <f t="shared" si="43"/>
        <v>1674532.3333333319</v>
      </c>
      <c r="Q667" s="75" t="s">
        <v>52</v>
      </c>
      <c r="S667" s="56">
        <f t="shared" si="49"/>
        <v>1007733.558199998</v>
      </c>
    </row>
    <row r="668" spans="1:20" x14ac:dyDescent="0.25">
      <c r="A668" s="26" t="s">
        <v>81</v>
      </c>
      <c r="B668" s="60" t="s">
        <v>13</v>
      </c>
      <c r="C668" s="60" t="s">
        <v>106</v>
      </c>
      <c r="D668" s="60" t="s">
        <v>194</v>
      </c>
      <c r="E668" s="60">
        <v>2</v>
      </c>
      <c r="F668" s="60" t="s">
        <v>1</v>
      </c>
      <c r="G668" s="72" t="s">
        <v>12</v>
      </c>
      <c r="H668" s="73">
        <v>3046994.4999999977</v>
      </c>
      <c r="I668" s="74">
        <v>1</v>
      </c>
      <c r="J668" s="29">
        <v>1000</v>
      </c>
      <c r="K668" s="29" t="s">
        <v>124</v>
      </c>
      <c r="L668" s="29">
        <v>25</v>
      </c>
      <c r="M668" s="29"/>
      <c r="N668" s="29"/>
      <c r="O668" s="29"/>
      <c r="P668" s="73">
        <f t="shared" si="43"/>
        <v>3046994.4999999977</v>
      </c>
      <c r="Q668" s="75" t="s">
        <v>52</v>
      </c>
      <c r="S668" s="56">
        <f t="shared" si="49"/>
        <v>1833681.2900999968</v>
      </c>
    </row>
    <row r="669" spans="1:20" x14ac:dyDescent="0.25">
      <c r="A669" s="26" t="s">
        <v>81</v>
      </c>
      <c r="B669" s="60" t="s">
        <v>13</v>
      </c>
      <c r="C669" s="60" t="s">
        <v>106</v>
      </c>
      <c r="D669" s="60" t="s">
        <v>195</v>
      </c>
      <c r="E669" s="60">
        <v>2</v>
      </c>
      <c r="F669" s="60" t="s">
        <v>1</v>
      </c>
      <c r="G669" s="72" t="s">
        <v>12</v>
      </c>
      <c r="H669" s="73">
        <v>7069576.8333333312</v>
      </c>
      <c r="I669" s="74">
        <v>1</v>
      </c>
      <c r="J669" s="29">
        <v>1500</v>
      </c>
      <c r="K669" s="29" t="s">
        <v>124</v>
      </c>
      <c r="L669" s="29">
        <v>25</v>
      </c>
      <c r="M669" s="29"/>
      <c r="N669" s="29"/>
      <c r="O669" s="29"/>
      <c r="P669" s="73">
        <f t="shared" si="43"/>
        <v>7069576.8333333312</v>
      </c>
      <c r="Q669" s="75" t="s">
        <v>52</v>
      </c>
      <c r="S669" s="56">
        <f t="shared" si="49"/>
        <v>4254471.3382999944</v>
      </c>
    </row>
    <row r="670" spans="1:20" x14ac:dyDescent="0.25">
      <c r="A670" s="26" t="s">
        <v>81</v>
      </c>
      <c r="B670" s="60" t="s">
        <v>13</v>
      </c>
      <c r="C670" s="60" t="s">
        <v>106</v>
      </c>
      <c r="D670" s="60" t="s">
        <v>196</v>
      </c>
      <c r="E670" s="60">
        <v>2</v>
      </c>
      <c r="F670" s="60" t="s">
        <v>1</v>
      </c>
      <c r="G670" s="72" t="s">
        <v>12</v>
      </c>
      <c r="H670" s="73">
        <v>8006910.1666666642</v>
      </c>
      <c r="I670" s="74">
        <v>1</v>
      </c>
      <c r="J670" s="29">
        <v>2500</v>
      </c>
      <c r="K670" s="29" t="s">
        <v>124</v>
      </c>
      <c r="L670" s="29">
        <v>25</v>
      </c>
      <c r="M670" s="29"/>
      <c r="N670" s="29"/>
      <c r="O670" s="29"/>
      <c r="P670" s="73">
        <f t="shared" si="43"/>
        <v>8006910.1666666642</v>
      </c>
      <c r="Q670" s="75" t="s">
        <v>52</v>
      </c>
      <c r="S670" s="56">
        <f t="shared" si="49"/>
        <v>4818558.5382999936</v>
      </c>
    </row>
    <row r="671" spans="1:20" x14ac:dyDescent="0.25">
      <c r="A671" s="26" t="s">
        <v>81</v>
      </c>
      <c r="B671" s="60" t="s">
        <v>13</v>
      </c>
      <c r="C671" s="60" t="s">
        <v>106</v>
      </c>
      <c r="D671" s="60" t="s">
        <v>197</v>
      </c>
      <c r="E671" s="60">
        <v>2</v>
      </c>
      <c r="F671" s="60" t="s">
        <v>1</v>
      </c>
      <c r="G671" s="72" t="s">
        <v>12</v>
      </c>
      <c r="H671" s="73">
        <v>1674532.3333333319</v>
      </c>
      <c r="I671" s="74">
        <v>1</v>
      </c>
      <c r="J671" s="29">
        <v>500</v>
      </c>
      <c r="K671" s="29" t="s">
        <v>124</v>
      </c>
      <c r="L671" s="29">
        <v>15</v>
      </c>
      <c r="M671" s="29"/>
      <c r="N671" s="29"/>
      <c r="O671" s="29"/>
      <c r="P671" s="73">
        <f t="shared" si="43"/>
        <v>1674532.3333333319</v>
      </c>
      <c r="Q671" s="75" t="s">
        <v>52</v>
      </c>
      <c r="S671" s="56">
        <f t="shared" si="49"/>
        <v>1007733.558199998</v>
      </c>
    </row>
    <row r="672" spans="1:20" x14ac:dyDescent="0.25">
      <c r="A672" s="26" t="s">
        <v>81</v>
      </c>
      <c r="B672" s="60" t="s">
        <v>13</v>
      </c>
      <c r="C672" s="60" t="s">
        <v>106</v>
      </c>
      <c r="D672" s="60" t="s">
        <v>198</v>
      </c>
      <c r="E672" s="60">
        <v>2</v>
      </c>
      <c r="F672" s="60" t="s">
        <v>1</v>
      </c>
      <c r="G672" s="72" t="s">
        <v>12</v>
      </c>
      <c r="H672" s="73">
        <v>3046994.4999999977</v>
      </c>
      <c r="I672" s="74">
        <v>1</v>
      </c>
      <c r="J672" s="29">
        <v>1000</v>
      </c>
      <c r="K672" s="29" t="s">
        <v>124</v>
      </c>
      <c r="L672" s="29">
        <v>15</v>
      </c>
      <c r="M672" s="29"/>
      <c r="N672" s="29"/>
      <c r="O672" s="29"/>
      <c r="P672" s="73">
        <f t="shared" si="43"/>
        <v>3046994.4999999977</v>
      </c>
      <c r="Q672" s="75" t="s">
        <v>52</v>
      </c>
      <c r="S672" s="56">
        <f t="shared" si="49"/>
        <v>1833681.2900999968</v>
      </c>
    </row>
    <row r="673" spans="1:20" x14ac:dyDescent="0.25">
      <c r="A673" s="26" t="s">
        <v>81</v>
      </c>
      <c r="B673" s="60" t="s">
        <v>13</v>
      </c>
      <c r="C673" s="60" t="s">
        <v>106</v>
      </c>
      <c r="D673" s="60" t="s">
        <v>199</v>
      </c>
      <c r="E673" s="60">
        <v>2</v>
      </c>
      <c r="F673" s="60" t="s">
        <v>1</v>
      </c>
      <c r="G673" s="72" t="s">
        <v>12</v>
      </c>
      <c r="H673" s="73">
        <v>7069576.8333333312</v>
      </c>
      <c r="I673" s="74">
        <v>1</v>
      </c>
      <c r="J673" s="29">
        <v>1500</v>
      </c>
      <c r="K673" s="29" t="s">
        <v>124</v>
      </c>
      <c r="L673" s="29">
        <v>15</v>
      </c>
      <c r="M673" s="29"/>
      <c r="N673" s="29"/>
      <c r="O673" s="29"/>
      <c r="P673" s="73">
        <f t="shared" si="43"/>
        <v>7069576.8333333312</v>
      </c>
      <c r="Q673" s="75" t="s">
        <v>52</v>
      </c>
      <c r="S673" s="56">
        <f t="shared" si="49"/>
        <v>4254471.3382999944</v>
      </c>
    </row>
    <row r="674" spans="1:20" x14ac:dyDescent="0.25">
      <c r="A674" s="26" t="s">
        <v>81</v>
      </c>
      <c r="B674" s="60" t="s">
        <v>13</v>
      </c>
      <c r="C674" s="60" t="s">
        <v>106</v>
      </c>
      <c r="D674" s="60" t="s">
        <v>200</v>
      </c>
      <c r="E674" s="60">
        <v>2</v>
      </c>
      <c r="F674" s="60" t="s">
        <v>1</v>
      </c>
      <c r="G674" s="72" t="s">
        <v>12</v>
      </c>
      <c r="H674" s="73">
        <v>8006910.1666666642</v>
      </c>
      <c r="I674" s="74">
        <v>1</v>
      </c>
      <c r="J674" s="29">
        <v>2500</v>
      </c>
      <c r="K674" s="29" t="s">
        <v>124</v>
      </c>
      <c r="L674" s="29">
        <v>15</v>
      </c>
      <c r="M674" s="29"/>
      <c r="N674" s="29"/>
      <c r="O674" s="29"/>
      <c r="P674" s="73">
        <f t="shared" si="43"/>
        <v>8006910.1666666642</v>
      </c>
      <c r="Q674" s="75" t="s">
        <v>52</v>
      </c>
      <c r="S674" s="56">
        <f t="shared" si="49"/>
        <v>4818558.5382999936</v>
      </c>
    </row>
    <row r="675" spans="1:20" x14ac:dyDescent="0.25">
      <c r="A675" s="26" t="s">
        <v>81</v>
      </c>
      <c r="B675" s="60" t="s">
        <v>13</v>
      </c>
      <c r="C675" s="60" t="s">
        <v>106</v>
      </c>
      <c r="D675" s="60" t="s">
        <v>193</v>
      </c>
      <c r="E675" s="60">
        <v>3</v>
      </c>
      <c r="F675" s="60" t="s">
        <v>1</v>
      </c>
      <c r="G675" s="72" t="s">
        <v>12</v>
      </c>
      <c r="H675" s="73">
        <v>1674532.3333333319</v>
      </c>
      <c r="I675" s="74">
        <v>1</v>
      </c>
      <c r="J675" s="29">
        <v>500</v>
      </c>
      <c r="K675" s="29" t="s">
        <v>124</v>
      </c>
      <c r="L675" s="29">
        <v>25</v>
      </c>
      <c r="M675" s="29"/>
      <c r="N675" s="29"/>
      <c r="O675" s="29"/>
      <c r="P675" s="73">
        <f t="shared" ref="P675:P682" si="50">+I675*H675</f>
        <v>1674532.3333333319</v>
      </c>
      <c r="Q675" s="75" t="s">
        <v>52</v>
      </c>
      <c r="S675" s="56">
        <f t="shared" si="49"/>
        <v>1007733.558199998</v>
      </c>
    </row>
    <row r="676" spans="1:20" x14ac:dyDescent="0.25">
      <c r="A676" s="26" t="s">
        <v>81</v>
      </c>
      <c r="B676" s="60" t="s">
        <v>13</v>
      </c>
      <c r="C676" s="60" t="s">
        <v>106</v>
      </c>
      <c r="D676" s="60" t="s">
        <v>194</v>
      </c>
      <c r="E676" s="60">
        <v>3</v>
      </c>
      <c r="F676" s="60" t="s">
        <v>1</v>
      </c>
      <c r="G676" s="72" t="s">
        <v>12</v>
      </c>
      <c r="H676" s="73">
        <v>3046994.4999999977</v>
      </c>
      <c r="I676" s="74">
        <v>1</v>
      </c>
      <c r="J676" s="29">
        <v>1000</v>
      </c>
      <c r="K676" s="29" t="s">
        <v>124</v>
      </c>
      <c r="L676" s="29">
        <v>25</v>
      </c>
      <c r="M676" s="29"/>
      <c r="N676" s="29"/>
      <c r="O676" s="29"/>
      <c r="P676" s="73">
        <f t="shared" si="50"/>
        <v>3046994.4999999977</v>
      </c>
      <c r="Q676" s="75" t="s">
        <v>52</v>
      </c>
      <c r="S676" s="56">
        <f t="shared" si="49"/>
        <v>1833681.2900999968</v>
      </c>
    </row>
    <row r="677" spans="1:20" x14ac:dyDescent="0.25">
      <c r="A677" s="26" t="s">
        <v>81</v>
      </c>
      <c r="B677" s="60" t="s">
        <v>13</v>
      </c>
      <c r="C677" s="60" t="s">
        <v>106</v>
      </c>
      <c r="D677" s="60" t="s">
        <v>195</v>
      </c>
      <c r="E677" s="60">
        <v>3</v>
      </c>
      <c r="F677" s="60" t="s">
        <v>1</v>
      </c>
      <c r="G677" s="72" t="s">
        <v>12</v>
      </c>
      <c r="H677" s="73">
        <v>7069576.8333333312</v>
      </c>
      <c r="I677" s="74">
        <v>1</v>
      </c>
      <c r="J677" s="29">
        <v>1500</v>
      </c>
      <c r="K677" s="29" t="s">
        <v>124</v>
      </c>
      <c r="L677" s="29">
        <v>25</v>
      </c>
      <c r="M677" s="29"/>
      <c r="N677" s="29"/>
      <c r="O677" s="29"/>
      <c r="P677" s="73">
        <f t="shared" si="50"/>
        <v>7069576.8333333312</v>
      </c>
      <c r="Q677" s="75" t="s">
        <v>52</v>
      </c>
      <c r="S677" s="56">
        <f t="shared" si="49"/>
        <v>4254471.3382999944</v>
      </c>
    </row>
    <row r="678" spans="1:20" x14ac:dyDescent="0.25">
      <c r="A678" s="26" t="s">
        <v>81</v>
      </c>
      <c r="B678" s="60" t="s">
        <v>13</v>
      </c>
      <c r="C678" s="60" t="s">
        <v>106</v>
      </c>
      <c r="D678" s="60" t="s">
        <v>196</v>
      </c>
      <c r="E678" s="60">
        <v>3</v>
      </c>
      <c r="F678" s="60" t="s">
        <v>1</v>
      </c>
      <c r="G678" s="72" t="s">
        <v>12</v>
      </c>
      <c r="H678" s="73">
        <v>8006910.1666666642</v>
      </c>
      <c r="I678" s="74">
        <v>1</v>
      </c>
      <c r="J678" s="29">
        <v>2500</v>
      </c>
      <c r="K678" s="29" t="s">
        <v>124</v>
      </c>
      <c r="L678" s="29">
        <v>25</v>
      </c>
      <c r="M678" s="29"/>
      <c r="N678" s="29"/>
      <c r="O678" s="29"/>
      <c r="P678" s="73">
        <f t="shared" si="50"/>
        <v>8006910.1666666642</v>
      </c>
      <c r="Q678" s="75" t="s">
        <v>52</v>
      </c>
      <c r="S678" s="56">
        <f t="shared" si="49"/>
        <v>4818558.5382999936</v>
      </c>
    </row>
    <row r="679" spans="1:20" x14ac:dyDescent="0.25">
      <c r="A679" s="26" t="s">
        <v>81</v>
      </c>
      <c r="B679" s="60" t="s">
        <v>13</v>
      </c>
      <c r="C679" s="60" t="s">
        <v>106</v>
      </c>
      <c r="D679" s="60" t="s">
        <v>197</v>
      </c>
      <c r="E679" s="60">
        <v>3</v>
      </c>
      <c r="F679" s="60" t="s">
        <v>1</v>
      </c>
      <c r="G679" s="72" t="s">
        <v>12</v>
      </c>
      <c r="H679" s="73">
        <v>1674532.3333333319</v>
      </c>
      <c r="I679" s="74">
        <v>1</v>
      </c>
      <c r="J679" s="29">
        <v>500</v>
      </c>
      <c r="K679" s="29" t="s">
        <v>124</v>
      </c>
      <c r="L679" s="29">
        <v>15</v>
      </c>
      <c r="M679" s="29"/>
      <c r="N679" s="29"/>
      <c r="O679" s="29"/>
      <c r="P679" s="73">
        <f t="shared" si="50"/>
        <v>1674532.3333333319</v>
      </c>
      <c r="Q679" s="75" t="s">
        <v>52</v>
      </c>
      <c r="S679" s="56">
        <f t="shared" si="49"/>
        <v>1007733.558199998</v>
      </c>
    </row>
    <row r="680" spans="1:20" x14ac:dyDescent="0.25">
      <c r="A680" s="26" t="s">
        <v>81</v>
      </c>
      <c r="B680" s="60" t="s">
        <v>13</v>
      </c>
      <c r="C680" s="60" t="s">
        <v>106</v>
      </c>
      <c r="D680" s="60" t="s">
        <v>198</v>
      </c>
      <c r="E680" s="60">
        <v>3</v>
      </c>
      <c r="F680" s="60" t="s">
        <v>1</v>
      </c>
      <c r="G680" s="72" t="s">
        <v>12</v>
      </c>
      <c r="H680" s="73">
        <v>3046994.4999999977</v>
      </c>
      <c r="I680" s="74">
        <v>1</v>
      </c>
      <c r="J680" s="29">
        <v>1000</v>
      </c>
      <c r="K680" s="29" t="s">
        <v>124</v>
      </c>
      <c r="L680" s="29">
        <v>15</v>
      </c>
      <c r="M680" s="29"/>
      <c r="N680" s="29"/>
      <c r="O680" s="29"/>
      <c r="P680" s="73">
        <f t="shared" si="50"/>
        <v>3046994.4999999977</v>
      </c>
      <c r="Q680" s="75" t="s">
        <v>52</v>
      </c>
      <c r="S680" s="56">
        <f t="shared" si="49"/>
        <v>1833681.2900999968</v>
      </c>
    </row>
    <row r="681" spans="1:20" x14ac:dyDescent="0.25">
      <c r="A681" s="26" t="s">
        <v>81</v>
      </c>
      <c r="B681" s="60" t="s">
        <v>13</v>
      </c>
      <c r="C681" s="60" t="s">
        <v>106</v>
      </c>
      <c r="D681" s="60" t="s">
        <v>199</v>
      </c>
      <c r="E681" s="60">
        <v>3</v>
      </c>
      <c r="F681" s="60" t="s">
        <v>1</v>
      </c>
      <c r="G681" s="72" t="s">
        <v>12</v>
      </c>
      <c r="H681" s="73">
        <v>7069576.8333333312</v>
      </c>
      <c r="I681" s="74">
        <v>1</v>
      </c>
      <c r="J681" s="29">
        <v>1500</v>
      </c>
      <c r="K681" s="29" t="s">
        <v>124</v>
      </c>
      <c r="L681" s="29">
        <v>15</v>
      </c>
      <c r="M681" s="29"/>
      <c r="N681" s="29"/>
      <c r="O681" s="29"/>
      <c r="P681" s="73">
        <f t="shared" si="50"/>
        <v>7069576.8333333312</v>
      </c>
      <c r="Q681" s="75" t="s">
        <v>52</v>
      </c>
      <c r="S681" s="56">
        <f t="shared" si="49"/>
        <v>4254471.3382999944</v>
      </c>
    </row>
    <row r="682" spans="1:20" x14ac:dyDescent="0.25">
      <c r="A682" s="26" t="s">
        <v>81</v>
      </c>
      <c r="B682" s="60" t="s">
        <v>13</v>
      </c>
      <c r="C682" s="60" t="s">
        <v>106</v>
      </c>
      <c r="D682" s="60" t="s">
        <v>200</v>
      </c>
      <c r="E682" s="60">
        <v>3</v>
      </c>
      <c r="F682" s="60" t="s">
        <v>1</v>
      </c>
      <c r="G682" s="72" t="s">
        <v>12</v>
      </c>
      <c r="H682" s="73">
        <v>8006910.1666666642</v>
      </c>
      <c r="I682" s="74">
        <v>1</v>
      </c>
      <c r="J682" s="29">
        <v>2500</v>
      </c>
      <c r="K682" s="29" t="s">
        <v>124</v>
      </c>
      <c r="L682" s="29">
        <v>15</v>
      </c>
      <c r="M682" s="29"/>
      <c r="N682" s="29"/>
      <c r="O682" s="29"/>
      <c r="P682" s="73">
        <f t="shared" si="50"/>
        <v>8006910.1666666642</v>
      </c>
      <c r="Q682" s="75" t="s">
        <v>52</v>
      </c>
      <c r="S682" s="56">
        <f t="shared" si="49"/>
        <v>4818558.5382999936</v>
      </c>
    </row>
    <row r="683" spans="1:20" x14ac:dyDescent="0.25">
      <c r="A683" s="26" t="s">
        <v>81</v>
      </c>
      <c r="B683" s="60" t="s">
        <v>13</v>
      </c>
      <c r="C683" s="60" t="s">
        <v>107</v>
      </c>
      <c r="D683" s="60" t="s">
        <v>185</v>
      </c>
      <c r="E683" s="60">
        <v>1</v>
      </c>
      <c r="F683" s="60" t="s">
        <v>1</v>
      </c>
      <c r="G683" s="72" t="s">
        <v>12</v>
      </c>
      <c r="H683" s="73">
        <v>1653418.3960279999</v>
      </c>
      <c r="I683" s="74">
        <v>1</v>
      </c>
      <c r="J683" s="29">
        <v>500</v>
      </c>
      <c r="K683" s="29" t="s">
        <v>124</v>
      </c>
      <c r="L683" s="29">
        <v>25</v>
      </c>
      <c r="M683" s="29"/>
      <c r="N683" s="29"/>
      <c r="O683" s="29"/>
      <c r="P683" s="73">
        <f t="shared" si="43"/>
        <v>1653418.3960279999</v>
      </c>
      <c r="Q683" s="75" t="s">
        <v>52</v>
      </c>
      <c r="S683" s="55">
        <f>+$T$275*H683*12/5*0.85</f>
        <v>499200.08212877379</v>
      </c>
      <c r="T683" s="53"/>
    </row>
    <row r="684" spans="1:20" x14ac:dyDescent="0.25">
      <c r="A684" s="26" t="s">
        <v>81</v>
      </c>
      <c r="B684" s="60" t="s">
        <v>13</v>
      </c>
      <c r="C684" s="60" t="s">
        <v>107</v>
      </c>
      <c r="D684" s="60" t="s">
        <v>186</v>
      </c>
      <c r="E684" s="60">
        <v>1</v>
      </c>
      <c r="F684" s="60" t="s">
        <v>1</v>
      </c>
      <c r="G684" s="72" t="s">
        <v>12</v>
      </c>
      <c r="H684" s="73">
        <v>2078622.3960279999</v>
      </c>
      <c r="I684" s="74">
        <v>1</v>
      </c>
      <c r="J684" s="29">
        <v>1000</v>
      </c>
      <c r="K684" s="29" t="s">
        <v>124</v>
      </c>
      <c r="L684" s="29">
        <v>25</v>
      </c>
      <c r="M684" s="29"/>
      <c r="N684" s="29"/>
      <c r="O684" s="29"/>
      <c r="P684" s="73">
        <f t="shared" si="43"/>
        <v>2078622.3960279999</v>
      </c>
      <c r="Q684" s="75" t="s">
        <v>52</v>
      </c>
      <c r="S684" s="55">
        <f t="shared" ref="S684:S730" si="51">+$T$275*H684*12/5*0.85</f>
        <v>627577.67380877363</v>
      </c>
      <c r="T684" s="53"/>
    </row>
    <row r="685" spans="1:20" x14ac:dyDescent="0.25">
      <c r="A685" s="26" t="s">
        <v>81</v>
      </c>
      <c r="B685" s="60" t="s">
        <v>13</v>
      </c>
      <c r="C685" s="60" t="s">
        <v>107</v>
      </c>
      <c r="D685" s="60" t="s">
        <v>187</v>
      </c>
      <c r="E685" s="60">
        <v>1</v>
      </c>
      <c r="F685" s="60" t="s">
        <v>1</v>
      </c>
      <c r="G685" s="72" t="s">
        <v>12</v>
      </c>
      <c r="H685" s="73">
        <v>2368801.0626946664</v>
      </c>
      <c r="I685" s="74">
        <v>1</v>
      </c>
      <c r="J685" s="29">
        <v>1500</v>
      </c>
      <c r="K685" s="29" t="s">
        <v>124</v>
      </c>
      <c r="L685" s="29">
        <v>25</v>
      </c>
      <c r="M685" s="29"/>
      <c r="N685" s="29"/>
      <c r="O685" s="29"/>
      <c r="P685" s="73">
        <f t="shared" si="43"/>
        <v>2368801.0626946664</v>
      </c>
      <c r="Q685" s="75" t="s">
        <v>52</v>
      </c>
      <c r="S685" s="55">
        <f t="shared" si="51"/>
        <v>715188.4168487736</v>
      </c>
      <c r="T685" s="53"/>
    </row>
    <row r="686" spans="1:20" x14ac:dyDescent="0.25">
      <c r="A686" s="26" t="s">
        <v>81</v>
      </c>
      <c r="B686" s="60" t="s">
        <v>13</v>
      </c>
      <c r="C686" s="60" t="s">
        <v>107</v>
      </c>
      <c r="D686" s="60" t="s">
        <v>188</v>
      </c>
      <c r="E686" s="60">
        <v>1</v>
      </c>
      <c r="F686" s="60" t="s">
        <v>1</v>
      </c>
      <c r="G686" s="72" t="s">
        <v>12</v>
      </c>
      <c r="H686" s="73">
        <v>2368801.0626946664</v>
      </c>
      <c r="I686" s="74">
        <v>1</v>
      </c>
      <c r="J686" s="29">
        <v>2500</v>
      </c>
      <c r="K686" s="29" t="s">
        <v>124</v>
      </c>
      <c r="L686" s="29">
        <v>25</v>
      </c>
      <c r="M686" s="29"/>
      <c r="N686" s="29"/>
      <c r="O686" s="29"/>
      <c r="P686" s="73">
        <f t="shared" si="43"/>
        <v>2368801.0626946664</v>
      </c>
      <c r="Q686" s="75" t="s">
        <v>52</v>
      </c>
      <c r="S686" s="55">
        <f t="shared" si="51"/>
        <v>715188.4168487736</v>
      </c>
      <c r="T686" s="53"/>
    </row>
    <row r="687" spans="1:20" x14ac:dyDescent="0.25">
      <c r="A687" s="26" t="s">
        <v>81</v>
      </c>
      <c r="B687" s="60" t="s">
        <v>13</v>
      </c>
      <c r="C687" s="60" t="s">
        <v>107</v>
      </c>
      <c r="D687" s="60" t="s">
        <v>189</v>
      </c>
      <c r="E687" s="60">
        <v>1</v>
      </c>
      <c r="F687" s="60" t="s">
        <v>1</v>
      </c>
      <c r="G687" s="72" t="s">
        <v>12</v>
      </c>
      <c r="H687" s="73">
        <v>1588073.5350666668</v>
      </c>
      <c r="I687" s="74">
        <v>1</v>
      </c>
      <c r="J687" s="29">
        <v>500</v>
      </c>
      <c r="K687" s="29" t="s">
        <v>124</v>
      </c>
      <c r="L687" s="29">
        <v>15</v>
      </c>
      <c r="M687" s="29"/>
      <c r="N687" s="29"/>
      <c r="O687" s="29"/>
      <c r="P687" s="73">
        <f t="shared" si="43"/>
        <v>1588073.5350666668</v>
      </c>
      <c r="Q687" s="75" t="s">
        <v>52</v>
      </c>
      <c r="S687" s="55">
        <f t="shared" si="51"/>
        <v>479471.16170732799</v>
      </c>
      <c r="T687" s="53"/>
    </row>
    <row r="688" spans="1:20" x14ac:dyDescent="0.25">
      <c r="A688" s="26" t="s">
        <v>81</v>
      </c>
      <c r="B688" s="60" t="s">
        <v>13</v>
      </c>
      <c r="C688" s="60" t="s">
        <v>107</v>
      </c>
      <c r="D688" s="60" t="s">
        <v>190</v>
      </c>
      <c r="E688" s="60">
        <v>1</v>
      </c>
      <c r="F688" s="60" t="s">
        <v>1</v>
      </c>
      <c r="G688" s="72" t="s">
        <v>12</v>
      </c>
      <c r="H688" s="73">
        <v>2013277.5350666668</v>
      </c>
      <c r="I688" s="74">
        <v>1</v>
      </c>
      <c r="J688" s="29">
        <v>1000</v>
      </c>
      <c r="K688" s="29" t="s">
        <v>124</v>
      </c>
      <c r="L688" s="29">
        <v>15</v>
      </c>
      <c r="M688" s="29"/>
      <c r="N688" s="29"/>
      <c r="O688" s="29"/>
      <c r="P688" s="73">
        <f t="shared" si="43"/>
        <v>2013277.5350666668</v>
      </c>
      <c r="Q688" s="75" t="s">
        <v>52</v>
      </c>
      <c r="S688" s="55">
        <f t="shared" si="51"/>
        <v>607848.753387328</v>
      </c>
      <c r="T688" s="53"/>
    </row>
    <row r="689" spans="1:20" x14ac:dyDescent="0.25">
      <c r="A689" s="26" t="s">
        <v>81</v>
      </c>
      <c r="B689" s="60" t="s">
        <v>13</v>
      </c>
      <c r="C689" s="60" t="s">
        <v>107</v>
      </c>
      <c r="D689" s="60" t="s">
        <v>191</v>
      </c>
      <c r="E689" s="60">
        <v>1</v>
      </c>
      <c r="F689" s="60" t="s">
        <v>1</v>
      </c>
      <c r="G689" s="72" t="s">
        <v>12</v>
      </c>
      <c r="H689" s="73">
        <v>2303456.2017333335</v>
      </c>
      <c r="I689" s="74">
        <v>1</v>
      </c>
      <c r="J689" s="29">
        <v>1500</v>
      </c>
      <c r="K689" s="29" t="s">
        <v>124</v>
      </c>
      <c r="L689" s="29">
        <v>15</v>
      </c>
      <c r="M689" s="29"/>
      <c r="N689" s="29"/>
      <c r="O689" s="29"/>
      <c r="P689" s="73">
        <f t="shared" si="43"/>
        <v>2303456.2017333335</v>
      </c>
      <c r="Q689" s="75" t="s">
        <v>52</v>
      </c>
      <c r="S689" s="55">
        <f t="shared" si="51"/>
        <v>695459.49642732798</v>
      </c>
      <c r="T689" s="53"/>
    </row>
    <row r="690" spans="1:20" x14ac:dyDescent="0.25">
      <c r="A690" s="26" t="s">
        <v>81</v>
      </c>
      <c r="B690" s="60" t="s">
        <v>13</v>
      </c>
      <c r="C690" s="60" t="s">
        <v>107</v>
      </c>
      <c r="D690" s="60" t="s">
        <v>192</v>
      </c>
      <c r="E690" s="60">
        <v>1</v>
      </c>
      <c r="F690" s="60" t="s">
        <v>1</v>
      </c>
      <c r="G690" s="72" t="s">
        <v>12</v>
      </c>
      <c r="H690" s="73">
        <v>2303456.2017333335</v>
      </c>
      <c r="I690" s="74">
        <v>1</v>
      </c>
      <c r="J690" s="29">
        <v>2500</v>
      </c>
      <c r="K690" s="29" t="s">
        <v>124</v>
      </c>
      <c r="L690" s="29">
        <v>15</v>
      </c>
      <c r="M690" s="29"/>
      <c r="N690" s="29"/>
      <c r="O690" s="29"/>
      <c r="P690" s="73">
        <f t="shared" si="43"/>
        <v>2303456.2017333335</v>
      </c>
      <c r="Q690" s="75" t="s">
        <v>52</v>
      </c>
      <c r="S690" s="55">
        <f t="shared" si="51"/>
        <v>695459.49642732798</v>
      </c>
      <c r="T690" s="53"/>
    </row>
    <row r="691" spans="1:20" x14ac:dyDescent="0.25">
      <c r="A691" s="26" t="s">
        <v>81</v>
      </c>
      <c r="B691" s="60" t="s">
        <v>13</v>
      </c>
      <c r="C691" s="60" t="s">
        <v>107</v>
      </c>
      <c r="D691" s="60" t="s">
        <v>193</v>
      </c>
      <c r="E691" s="60">
        <v>2</v>
      </c>
      <c r="F691" s="60" t="s">
        <v>1</v>
      </c>
      <c r="G691" s="72" t="s">
        <v>12</v>
      </c>
      <c r="H691" s="73">
        <v>1815951.9960279998</v>
      </c>
      <c r="I691" s="74">
        <v>1</v>
      </c>
      <c r="J691" s="29">
        <v>500</v>
      </c>
      <c r="K691" s="29" t="s">
        <v>124</v>
      </c>
      <c r="L691" s="29">
        <v>25</v>
      </c>
      <c r="M691" s="29"/>
      <c r="N691" s="29"/>
      <c r="O691" s="29"/>
      <c r="P691" s="73">
        <f t="shared" si="43"/>
        <v>1815951.9960279998</v>
      </c>
      <c r="Q691" s="75" t="s">
        <v>52</v>
      </c>
      <c r="S691" s="55">
        <f t="shared" si="51"/>
        <v>548272.22664077359</v>
      </c>
      <c r="T691" s="53"/>
    </row>
    <row r="692" spans="1:20" x14ac:dyDescent="0.25">
      <c r="A692" s="26" t="s">
        <v>81</v>
      </c>
      <c r="B692" s="60" t="s">
        <v>13</v>
      </c>
      <c r="C692" s="60" t="s">
        <v>107</v>
      </c>
      <c r="D692" s="60" t="s">
        <v>194</v>
      </c>
      <c r="E692" s="60">
        <v>2</v>
      </c>
      <c r="F692" s="60" t="s">
        <v>1</v>
      </c>
      <c r="G692" s="72" t="s">
        <v>12</v>
      </c>
      <c r="H692" s="73">
        <v>2368717.1960279997</v>
      </c>
      <c r="I692" s="74">
        <v>1</v>
      </c>
      <c r="J692" s="29">
        <v>1000</v>
      </c>
      <c r="K692" s="29" t="s">
        <v>124</v>
      </c>
      <c r="L692" s="29">
        <v>25</v>
      </c>
      <c r="M692" s="29"/>
      <c r="N692" s="29"/>
      <c r="O692" s="29"/>
      <c r="P692" s="73">
        <f t="shared" si="43"/>
        <v>2368717.1960279997</v>
      </c>
      <c r="Q692" s="75" t="s">
        <v>52</v>
      </c>
      <c r="S692" s="55">
        <f t="shared" si="51"/>
        <v>715163.09582477354</v>
      </c>
      <c r="T692" s="53"/>
    </row>
    <row r="693" spans="1:20" x14ac:dyDescent="0.25">
      <c r="A693" s="26" t="s">
        <v>81</v>
      </c>
      <c r="B693" s="60" t="s">
        <v>13</v>
      </c>
      <c r="C693" s="60" t="s">
        <v>107</v>
      </c>
      <c r="D693" s="60" t="s">
        <v>195</v>
      </c>
      <c r="E693" s="60">
        <v>2</v>
      </c>
      <c r="F693" s="60" t="s">
        <v>1</v>
      </c>
      <c r="G693" s="72" t="s">
        <v>12</v>
      </c>
      <c r="H693" s="73">
        <v>2745949.4626946668</v>
      </c>
      <c r="I693" s="74">
        <v>1</v>
      </c>
      <c r="J693" s="29">
        <v>1500</v>
      </c>
      <c r="K693" s="29" t="s">
        <v>124</v>
      </c>
      <c r="L693" s="29">
        <v>25</v>
      </c>
      <c r="M693" s="29"/>
      <c r="N693" s="29"/>
      <c r="O693" s="29"/>
      <c r="P693" s="73">
        <f t="shared" si="43"/>
        <v>2745949.4626946668</v>
      </c>
      <c r="Q693" s="75" t="s">
        <v>52</v>
      </c>
      <c r="S693" s="55">
        <f t="shared" si="51"/>
        <v>829057.06177677365</v>
      </c>
      <c r="T693" s="53"/>
    </row>
    <row r="694" spans="1:20" x14ac:dyDescent="0.25">
      <c r="A694" s="26" t="s">
        <v>81</v>
      </c>
      <c r="B694" s="60" t="s">
        <v>13</v>
      </c>
      <c r="C694" s="60" t="s">
        <v>107</v>
      </c>
      <c r="D694" s="60" t="s">
        <v>196</v>
      </c>
      <c r="E694" s="60">
        <v>2</v>
      </c>
      <c r="F694" s="60" t="s">
        <v>1</v>
      </c>
      <c r="G694" s="72" t="s">
        <v>12</v>
      </c>
      <c r="H694" s="73">
        <v>2745949.4626946668</v>
      </c>
      <c r="I694" s="74">
        <v>1</v>
      </c>
      <c r="J694" s="29">
        <v>2500</v>
      </c>
      <c r="K694" s="29" t="s">
        <v>124</v>
      </c>
      <c r="L694" s="29">
        <v>25</v>
      </c>
      <c r="M694" s="29"/>
      <c r="N694" s="29"/>
      <c r="O694" s="29"/>
      <c r="P694" s="73">
        <f t="shared" si="43"/>
        <v>2745949.4626946668</v>
      </c>
      <c r="Q694" s="75" t="s">
        <v>52</v>
      </c>
      <c r="S694" s="55">
        <f t="shared" si="51"/>
        <v>829057.06177677365</v>
      </c>
      <c r="T694" s="53"/>
    </row>
    <row r="695" spans="1:20" x14ac:dyDescent="0.25">
      <c r="A695" s="26" t="s">
        <v>81</v>
      </c>
      <c r="B695" s="60" t="s">
        <v>13</v>
      </c>
      <c r="C695" s="60" t="s">
        <v>107</v>
      </c>
      <c r="D695" s="60" t="s">
        <v>197</v>
      </c>
      <c r="E695" s="60">
        <v>2</v>
      </c>
      <c r="F695" s="60" t="s">
        <v>1</v>
      </c>
      <c r="G695" s="72" t="s">
        <v>12</v>
      </c>
      <c r="H695" s="73">
        <v>1750607.1350666666</v>
      </c>
      <c r="I695" s="74">
        <v>1</v>
      </c>
      <c r="J695" s="29">
        <v>500</v>
      </c>
      <c r="K695" s="29" t="s">
        <v>124</v>
      </c>
      <c r="L695" s="29">
        <v>15</v>
      </c>
      <c r="M695" s="29"/>
      <c r="N695" s="29"/>
      <c r="O695" s="29"/>
      <c r="P695" s="73">
        <f t="shared" ref="P695:P790" si="52">+I695*H695</f>
        <v>1750607.1350666666</v>
      </c>
      <c r="Q695" s="75" t="s">
        <v>52</v>
      </c>
      <c r="S695" s="55">
        <f t="shared" si="51"/>
        <v>528543.30621932796</v>
      </c>
      <c r="T695" s="53"/>
    </row>
    <row r="696" spans="1:20" x14ac:dyDescent="0.25">
      <c r="A696" s="26" t="s">
        <v>81</v>
      </c>
      <c r="B696" s="60" t="s">
        <v>13</v>
      </c>
      <c r="C696" s="60" t="s">
        <v>107</v>
      </c>
      <c r="D696" s="60" t="s">
        <v>198</v>
      </c>
      <c r="E696" s="60">
        <v>2</v>
      </c>
      <c r="F696" s="60" t="s">
        <v>1</v>
      </c>
      <c r="G696" s="72" t="s">
        <v>12</v>
      </c>
      <c r="H696" s="73">
        <v>2303372.3350666668</v>
      </c>
      <c r="I696" s="74">
        <v>1</v>
      </c>
      <c r="J696" s="29">
        <v>1000</v>
      </c>
      <c r="K696" s="29" t="s">
        <v>124</v>
      </c>
      <c r="L696" s="29">
        <v>15</v>
      </c>
      <c r="M696" s="29"/>
      <c r="N696" s="29"/>
      <c r="O696" s="29"/>
      <c r="P696" s="73">
        <f t="shared" si="52"/>
        <v>2303372.3350666668</v>
      </c>
      <c r="Q696" s="75" t="s">
        <v>52</v>
      </c>
      <c r="S696" s="55">
        <f t="shared" si="51"/>
        <v>695434.17540332803</v>
      </c>
      <c r="T696" s="53"/>
    </row>
    <row r="697" spans="1:20" x14ac:dyDescent="0.25">
      <c r="A697" s="26" t="s">
        <v>81</v>
      </c>
      <c r="B697" s="60" t="s">
        <v>13</v>
      </c>
      <c r="C697" s="60" t="s">
        <v>107</v>
      </c>
      <c r="D697" s="60" t="s">
        <v>199</v>
      </c>
      <c r="E697" s="60">
        <v>2</v>
      </c>
      <c r="F697" s="60" t="s">
        <v>1</v>
      </c>
      <c r="G697" s="72" t="s">
        <v>12</v>
      </c>
      <c r="H697" s="73">
        <v>2680604.6017333334</v>
      </c>
      <c r="I697" s="74">
        <v>1</v>
      </c>
      <c r="J697" s="29">
        <v>1500</v>
      </c>
      <c r="K697" s="29" t="s">
        <v>124</v>
      </c>
      <c r="L697" s="29">
        <v>15</v>
      </c>
      <c r="M697" s="29"/>
      <c r="N697" s="29"/>
      <c r="O697" s="29"/>
      <c r="P697" s="73">
        <f t="shared" si="52"/>
        <v>2680604.6017333334</v>
      </c>
      <c r="Q697" s="75" t="s">
        <v>52</v>
      </c>
      <c r="S697" s="55">
        <f t="shared" si="51"/>
        <v>809328.14135532803</v>
      </c>
      <c r="T697" s="53"/>
    </row>
    <row r="698" spans="1:20" x14ac:dyDescent="0.25">
      <c r="A698" s="26" t="s">
        <v>81</v>
      </c>
      <c r="B698" s="60" t="s">
        <v>13</v>
      </c>
      <c r="C698" s="60" t="s">
        <v>107</v>
      </c>
      <c r="D698" s="60" t="s">
        <v>200</v>
      </c>
      <c r="E698" s="60">
        <v>2</v>
      </c>
      <c r="F698" s="60" t="s">
        <v>1</v>
      </c>
      <c r="G698" s="72" t="s">
        <v>12</v>
      </c>
      <c r="H698" s="73">
        <v>2680604.6017333334</v>
      </c>
      <c r="I698" s="74">
        <v>1</v>
      </c>
      <c r="J698" s="29">
        <v>2500</v>
      </c>
      <c r="K698" s="29" t="s">
        <v>124</v>
      </c>
      <c r="L698" s="29">
        <v>15</v>
      </c>
      <c r="M698" s="29"/>
      <c r="N698" s="29"/>
      <c r="O698" s="29"/>
      <c r="P698" s="73">
        <f t="shared" si="52"/>
        <v>2680604.6017333334</v>
      </c>
      <c r="Q698" s="75" t="s">
        <v>52</v>
      </c>
      <c r="S698" s="55">
        <f t="shared" si="51"/>
        <v>809328.14135532803</v>
      </c>
      <c r="T698" s="53"/>
    </row>
    <row r="699" spans="1:20" x14ac:dyDescent="0.25">
      <c r="A699" s="26" t="s">
        <v>81</v>
      </c>
      <c r="B699" s="60" t="s">
        <v>13</v>
      </c>
      <c r="C699" s="60" t="s">
        <v>107</v>
      </c>
      <c r="D699" s="60" t="s">
        <v>193</v>
      </c>
      <c r="E699" s="60">
        <v>3</v>
      </c>
      <c r="F699" s="60" t="s">
        <v>1</v>
      </c>
      <c r="G699" s="72" t="s">
        <v>12</v>
      </c>
      <c r="H699" s="73">
        <v>1815951.9960279998</v>
      </c>
      <c r="I699" s="74">
        <v>1</v>
      </c>
      <c r="J699" s="29">
        <v>500</v>
      </c>
      <c r="K699" s="29" t="s">
        <v>124</v>
      </c>
      <c r="L699" s="29">
        <v>25</v>
      </c>
      <c r="M699" s="29"/>
      <c r="N699" s="29"/>
      <c r="O699" s="29"/>
      <c r="P699" s="73">
        <f t="shared" si="52"/>
        <v>1815951.9960279998</v>
      </c>
      <c r="Q699" s="75" t="s">
        <v>52</v>
      </c>
      <c r="S699" s="55">
        <f t="shared" si="51"/>
        <v>548272.22664077359</v>
      </c>
      <c r="T699" s="53"/>
    </row>
    <row r="700" spans="1:20" x14ac:dyDescent="0.25">
      <c r="A700" s="26" t="s">
        <v>81</v>
      </c>
      <c r="B700" s="60" t="s">
        <v>13</v>
      </c>
      <c r="C700" s="60" t="s">
        <v>107</v>
      </c>
      <c r="D700" s="60" t="s">
        <v>194</v>
      </c>
      <c r="E700" s="60">
        <v>3</v>
      </c>
      <c r="F700" s="60" t="s">
        <v>1</v>
      </c>
      <c r="G700" s="72" t="s">
        <v>12</v>
      </c>
      <c r="H700" s="73">
        <v>2368717.1960279997</v>
      </c>
      <c r="I700" s="74">
        <v>1</v>
      </c>
      <c r="J700" s="29">
        <v>1000</v>
      </c>
      <c r="K700" s="29" t="s">
        <v>124</v>
      </c>
      <c r="L700" s="29">
        <v>25</v>
      </c>
      <c r="M700" s="29"/>
      <c r="N700" s="29"/>
      <c r="O700" s="29"/>
      <c r="P700" s="73">
        <f t="shared" si="52"/>
        <v>2368717.1960279997</v>
      </c>
      <c r="Q700" s="75" t="s">
        <v>52</v>
      </c>
      <c r="S700" s="55">
        <f t="shared" si="51"/>
        <v>715163.09582477354</v>
      </c>
      <c r="T700" s="53"/>
    </row>
    <row r="701" spans="1:20" x14ac:dyDescent="0.25">
      <c r="A701" s="26" t="s">
        <v>81</v>
      </c>
      <c r="B701" s="60" t="s">
        <v>13</v>
      </c>
      <c r="C701" s="60" t="s">
        <v>107</v>
      </c>
      <c r="D701" s="60" t="s">
        <v>195</v>
      </c>
      <c r="E701" s="60">
        <v>3</v>
      </c>
      <c r="F701" s="60" t="s">
        <v>1</v>
      </c>
      <c r="G701" s="72" t="s">
        <v>12</v>
      </c>
      <c r="H701" s="73">
        <v>2745949.4626946668</v>
      </c>
      <c r="I701" s="74">
        <v>1</v>
      </c>
      <c r="J701" s="29">
        <v>1500</v>
      </c>
      <c r="K701" s="29" t="s">
        <v>124</v>
      </c>
      <c r="L701" s="29">
        <v>25</v>
      </c>
      <c r="M701" s="29"/>
      <c r="N701" s="29"/>
      <c r="O701" s="29"/>
      <c r="P701" s="73">
        <f t="shared" si="52"/>
        <v>2745949.4626946668</v>
      </c>
      <c r="Q701" s="75" t="s">
        <v>52</v>
      </c>
      <c r="S701" s="55">
        <f t="shared" si="51"/>
        <v>829057.06177677365</v>
      </c>
      <c r="T701" s="53"/>
    </row>
    <row r="702" spans="1:20" x14ac:dyDescent="0.25">
      <c r="A702" s="26" t="s">
        <v>81</v>
      </c>
      <c r="B702" s="60" t="s">
        <v>13</v>
      </c>
      <c r="C702" s="60" t="s">
        <v>107</v>
      </c>
      <c r="D702" s="60" t="s">
        <v>196</v>
      </c>
      <c r="E702" s="60">
        <v>3</v>
      </c>
      <c r="F702" s="60" t="s">
        <v>1</v>
      </c>
      <c r="G702" s="72" t="s">
        <v>12</v>
      </c>
      <c r="H702" s="73">
        <v>2745949.4626946668</v>
      </c>
      <c r="I702" s="74">
        <v>1</v>
      </c>
      <c r="J702" s="29">
        <v>2500</v>
      </c>
      <c r="K702" s="29" t="s">
        <v>124</v>
      </c>
      <c r="L702" s="29">
        <v>25</v>
      </c>
      <c r="M702" s="29"/>
      <c r="N702" s="29"/>
      <c r="O702" s="29"/>
      <c r="P702" s="73">
        <f t="shared" si="52"/>
        <v>2745949.4626946668</v>
      </c>
      <c r="Q702" s="75" t="s">
        <v>52</v>
      </c>
      <c r="S702" s="55">
        <f t="shared" si="51"/>
        <v>829057.06177677365</v>
      </c>
      <c r="T702" s="53"/>
    </row>
    <row r="703" spans="1:20" x14ac:dyDescent="0.25">
      <c r="A703" s="26" t="s">
        <v>81</v>
      </c>
      <c r="B703" s="60" t="s">
        <v>13</v>
      </c>
      <c r="C703" s="60" t="s">
        <v>107</v>
      </c>
      <c r="D703" s="60" t="s">
        <v>197</v>
      </c>
      <c r="E703" s="60">
        <v>3</v>
      </c>
      <c r="F703" s="60" t="s">
        <v>1</v>
      </c>
      <c r="G703" s="72" t="s">
        <v>12</v>
      </c>
      <c r="H703" s="73">
        <v>1750607.1350666666</v>
      </c>
      <c r="I703" s="74">
        <v>1</v>
      </c>
      <c r="J703" s="29">
        <v>500</v>
      </c>
      <c r="K703" s="29" t="s">
        <v>124</v>
      </c>
      <c r="L703" s="29">
        <v>15</v>
      </c>
      <c r="M703" s="29"/>
      <c r="N703" s="29"/>
      <c r="O703" s="29"/>
      <c r="P703" s="73">
        <f t="shared" ref="P703:P706" si="53">+I703*H703</f>
        <v>1750607.1350666666</v>
      </c>
      <c r="Q703" s="75" t="s">
        <v>52</v>
      </c>
      <c r="S703" s="55">
        <f t="shared" si="51"/>
        <v>528543.30621932796</v>
      </c>
      <c r="T703" s="53"/>
    </row>
    <row r="704" spans="1:20" x14ac:dyDescent="0.25">
      <c r="A704" s="26" t="s">
        <v>81</v>
      </c>
      <c r="B704" s="60" t="s">
        <v>13</v>
      </c>
      <c r="C704" s="60" t="s">
        <v>107</v>
      </c>
      <c r="D704" s="60" t="s">
        <v>198</v>
      </c>
      <c r="E704" s="60">
        <v>3</v>
      </c>
      <c r="F704" s="60" t="s">
        <v>1</v>
      </c>
      <c r="G704" s="72" t="s">
        <v>12</v>
      </c>
      <c r="H704" s="73">
        <v>2303372.3350666668</v>
      </c>
      <c r="I704" s="74">
        <v>1</v>
      </c>
      <c r="J704" s="29">
        <v>1000</v>
      </c>
      <c r="K704" s="29" t="s">
        <v>124</v>
      </c>
      <c r="L704" s="29">
        <v>15</v>
      </c>
      <c r="M704" s="29"/>
      <c r="N704" s="29"/>
      <c r="O704" s="29"/>
      <c r="P704" s="73">
        <f t="shared" si="53"/>
        <v>2303372.3350666668</v>
      </c>
      <c r="Q704" s="75" t="s">
        <v>52</v>
      </c>
      <c r="S704" s="55">
        <f t="shared" si="51"/>
        <v>695434.17540332803</v>
      </c>
      <c r="T704" s="53"/>
    </row>
    <row r="705" spans="1:20" x14ac:dyDescent="0.25">
      <c r="A705" s="26" t="s">
        <v>81</v>
      </c>
      <c r="B705" s="60" t="s">
        <v>13</v>
      </c>
      <c r="C705" s="60" t="s">
        <v>107</v>
      </c>
      <c r="D705" s="60" t="s">
        <v>199</v>
      </c>
      <c r="E705" s="60">
        <v>3</v>
      </c>
      <c r="F705" s="60" t="s">
        <v>1</v>
      </c>
      <c r="G705" s="72" t="s">
        <v>12</v>
      </c>
      <c r="H705" s="73">
        <v>2680604.6017333334</v>
      </c>
      <c r="I705" s="74">
        <v>1</v>
      </c>
      <c r="J705" s="29">
        <v>1500</v>
      </c>
      <c r="K705" s="29" t="s">
        <v>124</v>
      </c>
      <c r="L705" s="29">
        <v>15</v>
      </c>
      <c r="M705" s="29"/>
      <c r="N705" s="29"/>
      <c r="O705" s="29"/>
      <c r="P705" s="73">
        <f t="shared" si="53"/>
        <v>2680604.6017333334</v>
      </c>
      <c r="Q705" s="75" t="s">
        <v>52</v>
      </c>
      <c r="S705" s="55">
        <f t="shared" si="51"/>
        <v>809328.14135532803</v>
      </c>
      <c r="T705" s="53"/>
    </row>
    <row r="706" spans="1:20" x14ac:dyDescent="0.25">
      <c r="A706" s="26" t="s">
        <v>81</v>
      </c>
      <c r="B706" s="60" t="s">
        <v>13</v>
      </c>
      <c r="C706" s="60" t="s">
        <v>107</v>
      </c>
      <c r="D706" s="60" t="s">
        <v>200</v>
      </c>
      <c r="E706" s="60">
        <v>3</v>
      </c>
      <c r="F706" s="60" t="s">
        <v>1</v>
      </c>
      <c r="G706" s="72" t="s">
        <v>12</v>
      </c>
      <c r="H706" s="73">
        <v>2680604.6017333334</v>
      </c>
      <c r="I706" s="74">
        <v>1</v>
      </c>
      <c r="J706" s="29">
        <v>2500</v>
      </c>
      <c r="K706" s="29" t="s">
        <v>124</v>
      </c>
      <c r="L706" s="29">
        <v>15</v>
      </c>
      <c r="M706" s="29"/>
      <c r="N706" s="29"/>
      <c r="O706" s="29"/>
      <c r="P706" s="73">
        <f t="shared" si="53"/>
        <v>2680604.6017333334</v>
      </c>
      <c r="Q706" s="75" t="s">
        <v>52</v>
      </c>
      <c r="S706" s="55">
        <f t="shared" si="51"/>
        <v>809328.14135532803</v>
      </c>
      <c r="T706" s="53"/>
    </row>
    <row r="707" spans="1:20" x14ac:dyDescent="0.25">
      <c r="A707" s="26" t="s">
        <v>81</v>
      </c>
      <c r="B707" s="60" t="s">
        <v>13</v>
      </c>
      <c r="C707" s="60" t="s">
        <v>108</v>
      </c>
      <c r="D707" s="60" t="s">
        <v>185</v>
      </c>
      <c r="E707" s="60">
        <v>1</v>
      </c>
      <c r="F707" s="60" t="s">
        <v>1</v>
      </c>
      <c r="G707" s="72" t="s">
        <v>12</v>
      </c>
      <c r="H707" s="73">
        <v>2218858.4419999998</v>
      </c>
      <c r="I707" s="74">
        <v>1</v>
      </c>
      <c r="J707" s="29">
        <v>500</v>
      </c>
      <c r="K707" s="29" t="s">
        <v>124</v>
      </c>
      <c r="L707" s="29">
        <v>25</v>
      </c>
      <c r="M707" s="29"/>
      <c r="N707" s="29"/>
      <c r="O707" s="29"/>
      <c r="P707" s="73">
        <f t="shared" si="52"/>
        <v>2218858.4419999998</v>
      </c>
      <c r="Q707" s="75" t="s">
        <v>52</v>
      </c>
      <c r="S707" s="55">
        <f t="shared" si="51"/>
        <v>669917.74080863979</v>
      </c>
      <c r="T707" s="53"/>
    </row>
    <row r="708" spans="1:20" x14ac:dyDescent="0.25">
      <c r="A708" s="26" t="s">
        <v>81</v>
      </c>
      <c r="B708" s="60" t="s">
        <v>13</v>
      </c>
      <c r="C708" s="60" t="s">
        <v>108</v>
      </c>
      <c r="D708" s="60" t="s">
        <v>186</v>
      </c>
      <c r="E708" s="60">
        <v>1</v>
      </c>
      <c r="F708" s="60" t="s">
        <v>1</v>
      </c>
      <c r="G708" s="72" t="s">
        <v>12</v>
      </c>
      <c r="H708" s="73">
        <v>2768858.4419999998</v>
      </c>
      <c r="I708" s="74">
        <v>1</v>
      </c>
      <c r="J708" s="29">
        <v>1000</v>
      </c>
      <c r="K708" s="29" t="s">
        <v>124</v>
      </c>
      <c r="L708" s="29">
        <v>25</v>
      </c>
      <c r="M708" s="29"/>
      <c r="N708" s="29"/>
      <c r="O708" s="29"/>
      <c r="P708" s="73">
        <f t="shared" si="52"/>
        <v>2768858.4419999998</v>
      </c>
      <c r="Q708" s="75" t="s">
        <v>52</v>
      </c>
      <c r="S708" s="55">
        <f t="shared" si="51"/>
        <v>835973.74080863979</v>
      </c>
      <c r="T708" s="53"/>
    </row>
    <row r="709" spans="1:20" x14ac:dyDescent="0.25">
      <c r="A709" s="26" t="s">
        <v>81</v>
      </c>
      <c r="B709" s="60" t="s">
        <v>13</v>
      </c>
      <c r="C709" s="60" t="s">
        <v>108</v>
      </c>
      <c r="D709" s="60" t="s">
        <v>187</v>
      </c>
      <c r="E709" s="60">
        <v>1</v>
      </c>
      <c r="F709" s="60" t="s">
        <v>1</v>
      </c>
      <c r="G709" s="72" t="s">
        <v>12</v>
      </c>
      <c r="H709" s="73">
        <v>3268858.4419999998</v>
      </c>
      <c r="I709" s="74">
        <v>1</v>
      </c>
      <c r="J709" s="29">
        <v>1500</v>
      </c>
      <c r="K709" s="29" t="s">
        <v>124</v>
      </c>
      <c r="L709" s="29">
        <v>25</v>
      </c>
      <c r="M709" s="29"/>
      <c r="N709" s="29"/>
      <c r="O709" s="29"/>
      <c r="P709" s="73">
        <f t="shared" si="52"/>
        <v>3268858.4419999998</v>
      </c>
      <c r="Q709" s="75" t="s">
        <v>52</v>
      </c>
      <c r="S709" s="55">
        <f t="shared" si="51"/>
        <v>986933.74080863979</v>
      </c>
      <c r="T709" s="53"/>
    </row>
    <row r="710" spans="1:20" x14ac:dyDescent="0.25">
      <c r="A710" s="26" t="s">
        <v>81</v>
      </c>
      <c r="B710" s="60" t="s">
        <v>13</v>
      </c>
      <c r="C710" s="60" t="s">
        <v>108</v>
      </c>
      <c r="D710" s="60" t="s">
        <v>188</v>
      </c>
      <c r="E710" s="60">
        <v>1</v>
      </c>
      <c r="F710" s="60" t="s">
        <v>1</v>
      </c>
      <c r="G710" s="72" t="s">
        <v>12</v>
      </c>
      <c r="H710" s="73">
        <v>5268858.4419999998</v>
      </c>
      <c r="I710" s="74">
        <v>1</v>
      </c>
      <c r="J710" s="29">
        <v>2500</v>
      </c>
      <c r="K710" s="29" t="s">
        <v>124</v>
      </c>
      <c r="L710" s="29">
        <v>25</v>
      </c>
      <c r="M710" s="29"/>
      <c r="N710" s="29"/>
      <c r="O710" s="29"/>
      <c r="P710" s="73">
        <f t="shared" si="52"/>
        <v>5268858.4419999998</v>
      </c>
      <c r="Q710" s="75" t="s">
        <v>52</v>
      </c>
      <c r="S710" s="55">
        <f t="shared" si="51"/>
        <v>1590773.7408086397</v>
      </c>
      <c r="T710" s="53"/>
    </row>
    <row r="711" spans="1:20" x14ac:dyDescent="0.25">
      <c r="A711" s="26" t="s">
        <v>81</v>
      </c>
      <c r="B711" s="60" t="s">
        <v>13</v>
      </c>
      <c r="C711" s="60" t="s">
        <v>108</v>
      </c>
      <c r="D711" s="60" t="s">
        <v>189</v>
      </c>
      <c r="E711" s="60">
        <v>1</v>
      </c>
      <c r="F711" s="60" t="s">
        <v>1</v>
      </c>
      <c r="G711" s="72" t="s">
        <v>12</v>
      </c>
      <c r="H711" s="73">
        <v>2059626.4961999999</v>
      </c>
      <c r="I711" s="74">
        <v>1</v>
      </c>
      <c r="J711" s="29">
        <v>500</v>
      </c>
      <c r="K711" s="29" t="s">
        <v>124</v>
      </c>
      <c r="L711" s="29">
        <v>15</v>
      </c>
      <c r="M711" s="29"/>
      <c r="N711" s="29"/>
      <c r="O711" s="29"/>
      <c r="P711" s="73">
        <f t="shared" si="52"/>
        <v>2059626.4961999999</v>
      </c>
      <c r="Q711" s="75" t="s">
        <v>52</v>
      </c>
      <c r="S711" s="55">
        <f t="shared" si="51"/>
        <v>621842.43173270393</v>
      </c>
      <c r="T711" s="53"/>
    </row>
    <row r="712" spans="1:20" x14ac:dyDescent="0.25">
      <c r="A712" s="26" t="s">
        <v>81</v>
      </c>
      <c r="B712" s="60" t="s">
        <v>13</v>
      </c>
      <c r="C712" s="60" t="s">
        <v>108</v>
      </c>
      <c r="D712" s="60" t="s">
        <v>190</v>
      </c>
      <c r="E712" s="60">
        <v>1</v>
      </c>
      <c r="F712" s="60" t="s">
        <v>1</v>
      </c>
      <c r="G712" s="72" t="s">
        <v>12</v>
      </c>
      <c r="H712" s="73">
        <v>2609626.4961999999</v>
      </c>
      <c r="I712" s="74">
        <v>1</v>
      </c>
      <c r="J712" s="29">
        <v>1000</v>
      </c>
      <c r="K712" s="29" t="s">
        <v>124</v>
      </c>
      <c r="L712" s="29">
        <v>15</v>
      </c>
      <c r="M712" s="29"/>
      <c r="N712" s="29"/>
      <c r="O712" s="29"/>
      <c r="P712" s="73">
        <f t="shared" si="52"/>
        <v>2609626.4961999999</v>
      </c>
      <c r="Q712" s="75" t="s">
        <v>52</v>
      </c>
      <c r="S712" s="55">
        <f t="shared" si="51"/>
        <v>787898.43173270393</v>
      </c>
      <c r="T712" s="53"/>
    </row>
    <row r="713" spans="1:20" x14ac:dyDescent="0.25">
      <c r="A713" s="26" t="s">
        <v>81</v>
      </c>
      <c r="B713" s="60" t="s">
        <v>13</v>
      </c>
      <c r="C713" s="60" t="s">
        <v>108</v>
      </c>
      <c r="D713" s="60" t="s">
        <v>191</v>
      </c>
      <c r="E713" s="60">
        <v>1</v>
      </c>
      <c r="F713" s="60" t="s">
        <v>1</v>
      </c>
      <c r="G713" s="72" t="s">
        <v>12</v>
      </c>
      <c r="H713" s="73">
        <v>3109626.4961999999</v>
      </c>
      <c r="I713" s="74">
        <v>1</v>
      </c>
      <c r="J713" s="29">
        <v>1500</v>
      </c>
      <c r="K713" s="29" t="s">
        <v>124</v>
      </c>
      <c r="L713" s="29">
        <v>15</v>
      </c>
      <c r="M713" s="29"/>
      <c r="N713" s="29"/>
      <c r="O713" s="29"/>
      <c r="P713" s="73">
        <f t="shared" si="52"/>
        <v>3109626.4961999999</v>
      </c>
      <c r="Q713" s="75" t="s">
        <v>52</v>
      </c>
      <c r="S713" s="55">
        <f t="shared" si="51"/>
        <v>938858.43173270393</v>
      </c>
      <c r="T713" s="53"/>
    </row>
    <row r="714" spans="1:20" x14ac:dyDescent="0.25">
      <c r="A714" s="26" t="s">
        <v>81</v>
      </c>
      <c r="B714" s="60" t="s">
        <v>13</v>
      </c>
      <c r="C714" s="60" t="s">
        <v>108</v>
      </c>
      <c r="D714" s="60" t="s">
        <v>192</v>
      </c>
      <c r="E714" s="60">
        <v>1</v>
      </c>
      <c r="F714" s="60" t="s">
        <v>1</v>
      </c>
      <c r="G714" s="72" t="s">
        <v>12</v>
      </c>
      <c r="H714" s="73">
        <v>5109626.4961999999</v>
      </c>
      <c r="I714" s="74">
        <v>1</v>
      </c>
      <c r="J714" s="29">
        <v>2500</v>
      </c>
      <c r="K714" s="29" t="s">
        <v>124</v>
      </c>
      <c r="L714" s="29">
        <v>15</v>
      </c>
      <c r="M714" s="29"/>
      <c r="N714" s="29"/>
      <c r="O714" s="29"/>
      <c r="P714" s="73">
        <f t="shared" si="52"/>
        <v>5109626.4961999999</v>
      </c>
      <c r="Q714" s="75" t="s">
        <v>52</v>
      </c>
      <c r="S714" s="55">
        <f t="shared" si="51"/>
        <v>1542698.4317327039</v>
      </c>
      <c r="T714" s="53"/>
    </row>
    <row r="715" spans="1:20" x14ac:dyDescent="0.25">
      <c r="A715" s="26" t="s">
        <v>81</v>
      </c>
      <c r="B715" s="60" t="s">
        <v>13</v>
      </c>
      <c r="C715" s="60" t="s">
        <v>108</v>
      </c>
      <c r="D715" s="60" t="s">
        <v>193</v>
      </c>
      <c r="E715" s="60">
        <v>2</v>
      </c>
      <c r="F715" s="60" t="s">
        <v>1</v>
      </c>
      <c r="G715" s="72" t="s">
        <v>12</v>
      </c>
      <c r="H715" s="73">
        <v>2218858.4419999998</v>
      </c>
      <c r="I715" s="74">
        <v>1</v>
      </c>
      <c r="J715" s="29">
        <v>500</v>
      </c>
      <c r="K715" s="29" t="s">
        <v>124</v>
      </c>
      <c r="L715" s="29">
        <v>25</v>
      </c>
      <c r="M715" s="29"/>
      <c r="N715" s="29"/>
      <c r="O715" s="29"/>
      <c r="P715" s="73">
        <f t="shared" si="52"/>
        <v>2218858.4419999998</v>
      </c>
      <c r="Q715" s="75" t="s">
        <v>52</v>
      </c>
      <c r="S715" s="55">
        <f t="shared" si="51"/>
        <v>669917.74080863979</v>
      </c>
      <c r="T715" s="53"/>
    </row>
    <row r="716" spans="1:20" x14ac:dyDescent="0.25">
      <c r="A716" s="26" t="s">
        <v>81</v>
      </c>
      <c r="B716" s="60" t="s">
        <v>13</v>
      </c>
      <c r="C716" s="60" t="s">
        <v>108</v>
      </c>
      <c r="D716" s="60" t="s">
        <v>194</v>
      </c>
      <c r="E716" s="60">
        <v>2</v>
      </c>
      <c r="F716" s="60" t="s">
        <v>1</v>
      </c>
      <c r="G716" s="72" t="s">
        <v>12</v>
      </c>
      <c r="H716" s="73">
        <v>2768858.4419999998</v>
      </c>
      <c r="I716" s="74">
        <v>1</v>
      </c>
      <c r="J716" s="29">
        <v>1000</v>
      </c>
      <c r="K716" s="29" t="s">
        <v>124</v>
      </c>
      <c r="L716" s="29">
        <v>25</v>
      </c>
      <c r="M716" s="29"/>
      <c r="N716" s="29"/>
      <c r="O716" s="29"/>
      <c r="P716" s="73">
        <f t="shared" si="52"/>
        <v>2768858.4419999998</v>
      </c>
      <c r="Q716" s="75" t="s">
        <v>52</v>
      </c>
      <c r="S716" s="55">
        <f t="shared" si="51"/>
        <v>835973.74080863979</v>
      </c>
      <c r="T716" s="53"/>
    </row>
    <row r="717" spans="1:20" x14ac:dyDescent="0.25">
      <c r="A717" s="26" t="s">
        <v>81</v>
      </c>
      <c r="B717" s="60" t="s">
        <v>13</v>
      </c>
      <c r="C717" s="60" t="s">
        <v>108</v>
      </c>
      <c r="D717" s="60" t="s">
        <v>195</v>
      </c>
      <c r="E717" s="60">
        <v>2</v>
      </c>
      <c r="F717" s="60" t="s">
        <v>1</v>
      </c>
      <c r="G717" s="72" t="s">
        <v>12</v>
      </c>
      <c r="H717" s="73">
        <v>3268858.4419999998</v>
      </c>
      <c r="I717" s="74">
        <v>1</v>
      </c>
      <c r="J717" s="29">
        <v>1500</v>
      </c>
      <c r="K717" s="29" t="s">
        <v>124</v>
      </c>
      <c r="L717" s="29">
        <v>25</v>
      </c>
      <c r="M717" s="29"/>
      <c r="N717" s="29"/>
      <c r="O717" s="29"/>
      <c r="P717" s="73">
        <f t="shared" si="52"/>
        <v>3268858.4419999998</v>
      </c>
      <c r="Q717" s="75" t="s">
        <v>52</v>
      </c>
      <c r="S717" s="55">
        <f t="shared" si="51"/>
        <v>986933.74080863979</v>
      </c>
      <c r="T717" s="53"/>
    </row>
    <row r="718" spans="1:20" x14ac:dyDescent="0.25">
      <c r="A718" s="26" t="s">
        <v>81</v>
      </c>
      <c r="B718" s="60" t="s">
        <v>13</v>
      </c>
      <c r="C718" s="60" t="s">
        <v>108</v>
      </c>
      <c r="D718" s="60" t="s">
        <v>196</v>
      </c>
      <c r="E718" s="60">
        <v>2</v>
      </c>
      <c r="F718" s="60" t="s">
        <v>1</v>
      </c>
      <c r="G718" s="72" t="s">
        <v>12</v>
      </c>
      <c r="H718" s="73">
        <v>5268858.4419999998</v>
      </c>
      <c r="I718" s="74">
        <v>1</v>
      </c>
      <c r="J718" s="29">
        <v>2500</v>
      </c>
      <c r="K718" s="29" t="s">
        <v>124</v>
      </c>
      <c r="L718" s="29">
        <v>25</v>
      </c>
      <c r="M718" s="29"/>
      <c r="N718" s="29"/>
      <c r="O718" s="29"/>
      <c r="P718" s="73">
        <f t="shared" si="52"/>
        <v>5268858.4419999998</v>
      </c>
      <c r="Q718" s="75" t="s">
        <v>52</v>
      </c>
      <c r="S718" s="55">
        <f t="shared" si="51"/>
        <v>1590773.7408086397</v>
      </c>
      <c r="T718" s="53"/>
    </row>
    <row r="719" spans="1:20" x14ac:dyDescent="0.25">
      <c r="A719" s="26" t="s">
        <v>81</v>
      </c>
      <c r="B719" s="60" t="s">
        <v>13</v>
      </c>
      <c r="C719" s="60" t="s">
        <v>108</v>
      </c>
      <c r="D719" s="60" t="s">
        <v>197</v>
      </c>
      <c r="E719" s="60">
        <v>2</v>
      </c>
      <c r="F719" s="60" t="s">
        <v>1</v>
      </c>
      <c r="G719" s="72" t="s">
        <v>12</v>
      </c>
      <c r="H719" s="73">
        <v>2059626.4961999999</v>
      </c>
      <c r="I719" s="74">
        <v>1</v>
      </c>
      <c r="J719" s="29">
        <v>500</v>
      </c>
      <c r="K719" s="29" t="s">
        <v>124</v>
      </c>
      <c r="L719" s="29">
        <v>15</v>
      </c>
      <c r="M719" s="29"/>
      <c r="N719" s="29"/>
      <c r="O719" s="29"/>
      <c r="P719" s="73">
        <f t="shared" si="52"/>
        <v>2059626.4961999999</v>
      </c>
      <c r="Q719" s="75" t="s">
        <v>52</v>
      </c>
      <c r="S719" s="55">
        <f t="shared" si="51"/>
        <v>621842.43173270393</v>
      </c>
      <c r="T719" s="53"/>
    </row>
    <row r="720" spans="1:20" x14ac:dyDescent="0.25">
      <c r="A720" s="26" t="s">
        <v>81</v>
      </c>
      <c r="B720" s="60" t="s">
        <v>13</v>
      </c>
      <c r="C720" s="60" t="s">
        <v>108</v>
      </c>
      <c r="D720" s="60" t="s">
        <v>198</v>
      </c>
      <c r="E720" s="60">
        <v>2</v>
      </c>
      <c r="F720" s="60" t="s">
        <v>1</v>
      </c>
      <c r="G720" s="72" t="s">
        <v>12</v>
      </c>
      <c r="H720" s="73">
        <v>2609626.4961999999</v>
      </c>
      <c r="I720" s="74">
        <v>1</v>
      </c>
      <c r="J720" s="29">
        <v>1000</v>
      </c>
      <c r="K720" s="29" t="s">
        <v>124</v>
      </c>
      <c r="L720" s="29">
        <v>15</v>
      </c>
      <c r="M720" s="29"/>
      <c r="N720" s="29"/>
      <c r="O720" s="29"/>
      <c r="P720" s="73">
        <f t="shared" si="52"/>
        <v>2609626.4961999999</v>
      </c>
      <c r="Q720" s="75" t="s">
        <v>52</v>
      </c>
      <c r="S720" s="55">
        <f t="shared" si="51"/>
        <v>787898.43173270393</v>
      </c>
      <c r="T720" s="53"/>
    </row>
    <row r="721" spans="1:20" x14ac:dyDescent="0.25">
      <c r="A721" s="26" t="s">
        <v>81</v>
      </c>
      <c r="B721" s="60" t="s">
        <v>13</v>
      </c>
      <c r="C721" s="60" t="s">
        <v>108</v>
      </c>
      <c r="D721" s="60" t="s">
        <v>199</v>
      </c>
      <c r="E721" s="60">
        <v>2</v>
      </c>
      <c r="F721" s="60" t="s">
        <v>1</v>
      </c>
      <c r="G721" s="72" t="s">
        <v>12</v>
      </c>
      <c r="H721" s="73">
        <v>3109626.4961999999</v>
      </c>
      <c r="I721" s="74">
        <v>1</v>
      </c>
      <c r="J721" s="29">
        <v>1500</v>
      </c>
      <c r="K721" s="29" t="s">
        <v>124</v>
      </c>
      <c r="L721" s="29">
        <v>15</v>
      </c>
      <c r="M721" s="29"/>
      <c r="N721" s="29"/>
      <c r="O721" s="29"/>
      <c r="P721" s="73">
        <f t="shared" si="52"/>
        <v>3109626.4961999999</v>
      </c>
      <c r="Q721" s="75" t="s">
        <v>52</v>
      </c>
      <c r="S721" s="55">
        <f t="shared" si="51"/>
        <v>938858.43173270393</v>
      </c>
      <c r="T721" s="53"/>
    </row>
    <row r="722" spans="1:20" x14ac:dyDescent="0.25">
      <c r="A722" s="26" t="s">
        <v>81</v>
      </c>
      <c r="B722" s="60" t="s">
        <v>13</v>
      </c>
      <c r="C722" s="60" t="s">
        <v>108</v>
      </c>
      <c r="D722" s="60" t="s">
        <v>200</v>
      </c>
      <c r="E722" s="60">
        <v>2</v>
      </c>
      <c r="F722" s="60" t="s">
        <v>1</v>
      </c>
      <c r="G722" s="72" t="s">
        <v>12</v>
      </c>
      <c r="H722" s="73">
        <v>5109626.4961999999</v>
      </c>
      <c r="I722" s="74">
        <v>1</v>
      </c>
      <c r="J722" s="29">
        <v>2500</v>
      </c>
      <c r="K722" s="29" t="s">
        <v>124</v>
      </c>
      <c r="L722" s="29">
        <v>15</v>
      </c>
      <c r="M722" s="29"/>
      <c r="N722" s="29"/>
      <c r="O722" s="29"/>
      <c r="P722" s="73">
        <f t="shared" si="52"/>
        <v>5109626.4961999999</v>
      </c>
      <c r="Q722" s="75" t="s">
        <v>52</v>
      </c>
      <c r="S722" s="55">
        <f t="shared" si="51"/>
        <v>1542698.4317327039</v>
      </c>
      <c r="T722" s="53"/>
    </row>
    <row r="723" spans="1:20" x14ac:dyDescent="0.25">
      <c r="A723" s="26" t="s">
        <v>81</v>
      </c>
      <c r="B723" s="60" t="s">
        <v>13</v>
      </c>
      <c r="C723" s="60" t="s">
        <v>108</v>
      </c>
      <c r="D723" s="60" t="s">
        <v>193</v>
      </c>
      <c r="E723" s="60">
        <v>3</v>
      </c>
      <c r="F723" s="60" t="s">
        <v>1</v>
      </c>
      <c r="G723" s="72" t="s">
        <v>12</v>
      </c>
      <c r="H723" s="73">
        <v>2218858.4419999998</v>
      </c>
      <c r="I723" s="74">
        <v>1</v>
      </c>
      <c r="J723" s="29">
        <v>500</v>
      </c>
      <c r="K723" s="29" t="s">
        <v>124</v>
      </c>
      <c r="L723" s="29">
        <v>25</v>
      </c>
      <c r="M723" s="29"/>
      <c r="N723" s="29"/>
      <c r="O723" s="29"/>
      <c r="P723" s="73">
        <f t="shared" ref="P723:P730" si="54">+I723*H723</f>
        <v>2218858.4419999998</v>
      </c>
      <c r="Q723" s="75" t="s">
        <v>52</v>
      </c>
      <c r="S723" s="55">
        <f t="shared" si="51"/>
        <v>669917.74080863979</v>
      </c>
      <c r="T723" s="53"/>
    </row>
    <row r="724" spans="1:20" x14ac:dyDescent="0.25">
      <c r="A724" s="26" t="s">
        <v>81</v>
      </c>
      <c r="B724" s="60" t="s">
        <v>13</v>
      </c>
      <c r="C724" s="60" t="s">
        <v>108</v>
      </c>
      <c r="D724" s="60" t="s">
        <v>194</v>
      </c>
      <c r="E724" s="60">
        <v>3</v>
      </c>
      <c r="F724" s="60" t="s">
        <v>1</v>
      </c>
      <c r="G724" s="72" t="s">
        <v>12</v>
      </c>
      <c r="H724" s="73">
        <v>2768858.4419999998</v>
      </c>
      <c r="I724" s="74">
        <v>1</v>
      </c>
      <c r="J724" s="29">
        <v>1000</v>
      </c>
      <c r="K724" s="29" t="s">
        <v>124</v>
      </c>
      <c r="L724" s="29">
        <v>25</v>
      </c>
      <c r="M724" s="29"/>
      <c r="N724" s="29"/>
      <c r="O724" s="29"/>
      <c r="P724" s="73">
        <f t="shared" si="54"/>
        <v>2768858.4419999998</v>
      </c>
      <c r="Q724" s="75" t="s">
        <v>52</v>
      </c>
      <c r="S724" s="55">
        <f t="shared" si="51"/>
        <v>835973.74080863979</v>
      </c>
      <c r="T724" s="53"/>
    </row>
    <row r="725" spans="1:20" x14ac:dyDescent="0.25">
      <c r="A725" s="26" t="s">
        <v>81</v>
      </c>
      <c r="B725" s="60" t="s">
        <v>13</v>
      </c>
      <c r="C725" s="60" t="s">
        <v>108</v>
      </c>
      <c r="D725" s="60" t="s">
        <v>195</v>
      </c>
      <c r="E725" s="60">
        <v>3</v>
      </c>
      <c r="F725" s="60" t="s">
        <v>1</v>
      </c>
      <c r="G725" s="72" t="s">
        <v>12</v>
      </c>
      <c r="H725" s="73">
        <v>3268858.4419999998</v>
      </c>
      <c r="I725" s="74">
        <v>1</v>
      </c>
      <c r="J725" s="29">
        <v>1500</v>
      </c>
      <c r="K725" s="29" t="s">
        <v>124</v>
      </c>
      <c r="L725" s="29">
        <v>25</v>
      </c>
      <c r="M725" s="29"/>
      <c r="N725" s="29"/>
      <c r="O725" s="29"/>
      <c r="P725" s="73">
        <f t="shared" si="54"/>
        <v>3268858.4419999998</v>
      </c>
      <c r="Q725" s="75" t="s">
        <v>52</v>
      </c>
      <c r="S725" s="55">
        <f t="shared" si="51"/>
        <v>986933.74080863979</v>
      </c>
      <c r="T725" s="53"/>
    </row>
    <row r="726" spans="1:20" x14ac:dyDescent="0.25">
      <c r="A726" s="26" t="s">
        <v>81</v>
      </c>
      <c r="B726" s="60" t="s">
        <v>13</v>
      </c>
      <c r="C726" s="60" t="s">
        <v>108</v>
      </c>
      <c r="D726" s="60" t="s">
        <v>196</v>
      </c>
      <c r="E726" s="60">
        <v>3</v>
      </c>
      <c r="F726" s="60" t="s">
        <v>1</v>
      </c>
      <c r="G726" s="72" t="s">
        <v>12</v>
      </c>
      <c r="H726" s="73">
        <v>5268858.4419999998</v>
      </c>
      <c r="I726" s="74">
        <v>1</v>
      </c>
      <c r="J726" s="29">
        <v>2500</v>
      </c>
      <c r="K726" s="29" t="s">
        <v>124</v>
      </c>
      <c r="L726" s="29">
        <v>25</v>
      </c>
      <c r="M726" s="29"/>
      <c r="N726" s="29"/>
      <c r="O726" s="29"/>
      <c r="P726" s="73">
        <f t="shared" si="54"/>
        <v>5268858.4419999998</v>
      </c>
      <c r="Q726" s="75" t="s">
        <v>52</v>
      </c>
      <c r="S726" s="55">
        <f t="shared" si="51"/>
        <v>1590773.7408086397</v>
      </c>
      <c r="T726" s="53"/>
    </row>
    <row r="727" spans="1:20" x14ac:dyDescent="0.25">
      <c r="A727" s="26" t="s">
        <v>81</v>
      </c>
      <c r="B727" s="60" t="s">
        <v>13</v>
      </c>
      <c r="C727" s="60" t="s">
        <v>108</v>
      </c>
      <c r="D727" s="60" t="s">
        <v>197</v>
      </c>
      <c r="E727" s="60">
        <v>3</v>
      </c>
      <c r="F727" s="60" t="s">
        <v>1</v>
      </c>
      <c r="G727" s="72" t="s">
        <v>12</v>
      </c>
      <c r="H727" s="73">
        <v>2059626.4961999999</v>
      </c>
      <c r="I727" s="74">
        <v>1</v>
      </c>
      <c r="J727" s="29">
        <v>500</v>
      </c>
      <c r="K727" s="29" t="s">
        <v>124</v>
      </c>
      <c r="L727" s="29">
        <v>15</v>
      </c>
      <c r="M727" s="29"/>
      <c r="N727" s="29"/>
      <c r="O727" s="29"/>
      <c r="P727" s="73">
        <f t="shared" si="54"/>
        <v>2059626.4961999999</v>
      </c>
      <c r="Q727" s="75" t="s">
        <v>52</v>
      </c>
      <c r="S727" s="55">
        <f t="shared" si="51"/>
        <v>621842.43173270393</v>
      </c>
      <c r="T727" s="53"/>
    </row>
    <row r="728" spans="1:20" x14ac:dyDescent="0.25">
      <c r="A728" s="26" t="s">
        <v>81</v>
      </c>
      <c r="B728" s="60" t="s">
        <v>13</v>
      </c>
      <c r="C728" s="60" t="s">
        <v>108</v>
      </c>
      <c r="D728" s="60" t="s">
        <v>198</v>
      </c>
      <c r="E728" s="60">
        <v>3</v>
      </c>
      <c r="F728" s="60" t="s">
        <v>1</v>
      </c>
      <c r="G728" s="72" t="s">
        <v>12</v>
      </c>
      <c r="H728" s="73">
        <v>2609626.4961999999</v>
      </c>
      <c r="I728" s="74">
        <v>1</v>
      </c>
      <c r="J728" s="29">
        <v>1000</v>
      </c>
      <c r="K728" s="29" t="s">
        <v>124</v>
      </c>
      <c r="L728" s="29">
        <v>15</v>
      </c>
      <c r="M728" s="29"/>
      <c r="N728" s="29"/>
      <c r="O728" s="29"/>
      <c r="P728" s="73">
        <f t="shared" si="54"/>
        <v>2609626.4961999999</v>
      </c>
      <c r="Q728" s="75" t="s">
        <v>52</v>
      </c>
      <c r="S728" s="55">
        <f t="shared" si="51"/>
        <v>787898.43173270393</v>
      </c>
      <c r="T728" s="53"/>
    </row>
    <row r="729" spans="1:20" x14ac:dyDescent="0.25">
      <c r="A729" s="26" t="s">
        <v>81</v>
      </c>
      <c r="B729" s="60" t="s">
        <v>13</v>
      </c>
      <c r="C729" s="60" t="s">
        <v>108</v>
      </c>
      <c r="D729" s="60" t="s">
        <v>199</v>
      </c>
      <c r="E729" s="60">
        <v>3</v>
      </c>
      <c r="F729" s="60" t="s">
        <v>1</v>
      </c>
      <c r="G729" s="72" t="s">
        <v>12</v>
      </c>
      <c r="H729" s="73">
        <v>3109626.4961999999</v>
      </c>
      <c r="I729" s="74">
        <v>1</v>
      </c>
      <c r="J729" s="29">
        <v>1500</v>
      </c>
      <c r="K729" s="29" t="s">
        <v>124</v>
      </c>
      <c r="L729" s="29">
        <v>15</v>
      </c>
      <c r="M729" s="29"/>
      <c r="N729" s="29"/>
      <c r="O729" s="29"/>
      <c r="P729" s="73">
        <f t="shared" si="54"/>
        <v>3109626.4961999999</v>
      </c>
      <c r="Q729" s="75" t="s">
        <v>52</v>
      </c>
      <c r="S729" s="55">
        <f t="shared" si="51"/>
        <v>938858.43173270393</v>
      </c>
      <c r="T729" s="53"/>
    </row>
    <row r="730" spans="1:20" x14ac:dyDescent="0.25">
      <c r="A730" s="26" t="s">
        <v>81</v>
      </c>
      <c r="B730" s="60" t="s">
        <v>13</v>
      </c>
      <c r="C730" s="60" t="s">
        <v>108</v>
      </c>
      <c r="D730" s="60" t="s">
        <v>200</v>
      </c>
      <c r="E730" s="60">
        <v>3</v>
      </c>
      <c r="F730" s="60" t="s">
        <v>1</v>
      </c>
      <c r="G730" s="72" t="s">
        <v>12</v>
      </c>
      <c r="H730" s="73">
        <v>5109626.4961999999</v>
      </c>
      <c r="I730" s="74">
        <v>1</v>
      </c>
      <c r="J730" s="29">
        <v>2500</v>
      </c>
      <c r="K730" s="29" t="s">
        <v>124</v>
      </c>
      <c r="L730" s="29">
        <v>15</v>
      </c>
      <c r="M730" s="29"/>
      <c r="N730" s="29"/>
      <c r="O730" s="29"/>
      <c r="P730" s="73">
        <f t="shared" si="54"/>
        <v>5109626.4961999999</v>
      </c>
      <c r="Q730" s="75" t="s">
        <v>52</v>
      </c>
      <c r="S730" s="55">
        <f t="shared" si="51"/>
        <v>1542698.4317327039</v>
      </c>
      <c r="T730" s="53"/>
    </row>
    <row r="731" spans="1:20" x14ac:dyDescent="0.25">
      <c r="A731" s="26" t="s">
        <v>81</v>
      </c>
      <c r="B731" s="60" t="s">
        <v>13</v>
      </c>
      <c r="C731" s="60" t="s">
        <v>24</v>
      </c>
      <c r="D731" s="60" t="s">
        <v>185</v>
      </c>
      <c r="E731" s="60">
        <v>1</v>
      </c>
      <c r="F731" s="60" t="s">
        <v>7</v>
      </c>
      <c r="G731" s="72" t="s">
        <v>83</v>
      </c>
      <c r="H731" s="73">
        <v>2160000</v>
      </c>
      <c r="I731" s="74">
        <v>1</v>
      </c>
      <c r="J731" s="29">
        <v>500</v>
      </c>
      <c r="K731" s="29"/>
      <c r="L731" s="29">
        <v>25</v>
      </c>
      <c r="M731" s="29"/>
      <c r="N731" s="29"/>
      <c r="O731" s="29"/>
      <c r="P731" s="73">
        <f t="shared" si="52"/>
        <v>2160000</v>
      </c>
      <c r="Q731" s="75" t="s">
        <v>52</v>
      </c>
    </row>
    <row r="732" spans="1:20" x14ac:dyDescent="0.25">
      <c r="A732" s="26" t="s">
        <v>81</v>
      </c>
      <c r="B732" s="60" t="s">
        <v>13</v>
      </c>
      <c r="C732" s="60" t="s">
        <v>24</v>
      </c>
      <c r="D732" s="60" t="s">
        <v>186</v>
      </c>
      <c r="E732" s="60">
        <v>1</v>
      </c>
      <c r="F732" s="60" t="s">
        <v>7</v>
      </c>
      <c r="G732" s="72" t="s">
        <v>83</v>
      </c>
      <c r="H732" s="73">
        <v>2160000</v>
      </c>
      <c r="I732" s="74">
        <v>1</v>
      </c>
      <c r="J732" s="29">
        <v>1000</v>
      </c>
      <c r="K732" s="29"/>
      <c r="L732" s="29">
        <v>25</v>
      </c>
      <c r="M732" s="29"/>
      <c r="N732" s="29"/>
      <c r="O732" s="29"/>
      <c r="P732" s="73">
        <f t="shared" si="52"/>
        <v>2160000</v>
      </c>
      <c r="Q732" s="75" t="s">
        <v>52</v>
      </c>
    </row>
    <row r="733" spans="1:20" x14ac:dyDescent="0.25">
      <c r="A733" s="26" t="s">
        <v>81</v>
      </c>
      <c r="B733" s="60" t="s">
        <v>13</v>
      </c>
      <c r="C733" s="60" t="s">
        <v>24</v>
      </c>
      <c r="D733" s="60" t="s">
        <v>187</v>
      </c>
      <c r="E733" s="60">
        <v>1</v>
      </c>
      <c r="F733" s="60" t="s">
        <v>7</v>
      </c>
      <c r="G733" s="72" t="s">
        <v>83</v>
      </c>
      <c r="H733" s="73">
        <v>2160000</v>
      </c>
      <c r="I733" s="74">
        <v>1</v>
      </c>
      <c r="J733" s="29">
        <v>1500</v>
      </c>
      <c r="K733" s="29"/>
      <c r="L733" s="29">
        <v>25</v>
      </c>
      <c r="M733" s="29"/>
      <c r="N733" s="29"/>
      <c r="O733" s="29"/>
      <c r="P733" s="73">
        <f t="shared" si="52"/>
        <v>2160000</v>
      </c>
      <c r="Q733" s="75" t="s">
        <v>52</v>
      </c>
    </row>
    <row r="734" spans="1:20" x14ac:dyDescent="0.25">
      <c r="A734" s="26" t="s">
        <v>81</v>
      </c>
      <c r="B734" s="60" t="s">
        <v>13</v>
      </c>
      <c r="C734" s="60" t="s">
        <v>24</v>
      </c>
      <c r="D734" s="60" t="s">
        <v>188</v>
      </c>
      <c r="E734" s="60">
        <v>1</v>
      </c>
      <c r="F734" s="60" t="s">
        <v>7</v>
      </c>
      <c r="G734" s="72" t="s">
        <v>83</v>
      </c>
      <c r="H734" s="73">
        <v>2160000</v>
      </c>
      <c r="I734" s="74">
        <v>1</v>
      </c>
      <c r="J734" s="29">
        <v>2500</v>
      </c>
      <c r="K734" s="29"/>
      <c r="L734" s="29">
        <v>25</v>
      </c>
      <c r="M734" s="29"/>
      <c r="N734" s="29"/>
      <c r="O734" s="29"/>
      <c r="P734" s="73">
        <f t="shared" si="52"/>
        <v>2160000</v>
      </c>
      <c r="Q734" s="75" t="s">
        <v>52</v>
      </c>
    </row>
    <row r="735" spans="1:20" x14ac:dyDescent="0.25">
      <c r="A735" s="26" t="s">
        <v>81</v>
      </c>
      <c r="B735" s="60" t="s">
        <v>13</v>
      </c>
      <c r="C735" s="60" t="s">
        <v>24</v>
      </c>
      <c r="D735" s="60" t="s">
        <v>189</v>
      </c>
      <c r="E735" s="60">
        <v>1</v>
      </c>
      <c r="F735" s="60" t="s">
        <v>7</v>
      </c>
      <c r="G735" s="72" t="s">
        <v>83</v>
      </c>
      <c r="H735" s="73">
        <v>2160000</v>
      </c>
      <c r="I735" s="74">
        <v>1</v>
      </c>
      <c r="J735" s="29">
        <v>500</v>
      </c>
      <c r="K735" s="29"/>
      <c r="L735" s="29">
        <v>15</v>
      </c>
      <c r="M735" s="29"/>
      <c r="N735" s="29"/>
      <c r="O735" s="29"/>
      <c r="P735" s="73">
        <f t="shared" si="52"/>
        <v>2160000</v>
      </c>
      <c r="Q735" s="75" t="s">
        <v>52</v>
      </c>
    </row>
    <row r="736" spans="1:20" x14ac:dyDescent="0.25">
      <c r="A736" s="26" t="s">
        <v>81</v>
      </c>
      <c r="B736" s="60" t="s">
        <v>13</v>
      </c>
      <c r="C736" s="60" t="s">
        <v>24</v>
      </c>
      <c r="D736" s="60" t="s">
        <v>190</v>
      </c>
      <c r="E736" s="60">
        <v>1</v>
      </c>
      <c r="F736" s="60" t="s">
        <v>7</v>
      </c>
      <c r="G736" s="72" t="s">
        <v>83</v>
      </c>
      <c r="H736" s="73">
        <v>2160000</v>
      </c>
      <c r="I736" s="74">
        <v>1</v>
      </c>
      <c r="J736" s="29">
        <v>1000</v>
      </c>
      <c r="K736" s="29"/>
      <c r="L736" s="29">
        <v>15</v>
      </c>
      <c r="M736" s="29"/>
      <c r="N736" s="29"/>
      <c r="O736" s="29"/>
      <c r="P736" s="73">
        <f t="shared" si="52"/>
        <v>2160000</v>
      </c>
      <c r="Q736" s="75" t="s">
        <v>52</v>
      </c>
    </row>
    <row r="737" spans="1:17" x14ac:dyDescent="0.25">
      <c r="A737" s="26" t="s">
        <v>81</v>
      </c>
      <c r="B737" s="60" t="s">
        <v>13</v>
      </c>
      <c r="C737" s="60" t="s">
        <v>24</v>
      </c>
      <c r="D737" s="60" t="s">
        <v>191</v>
      </c>
      <c r="E737" s="60">
        <v>1</v>
      </c>
      <c r="F737" s="60" t="s">
        <v>7</v>
      </c>
      <c r="G737" s="72" t="s">
        <v>83</v>
      </c>
      <c r="H737" s="73">
        <v>2160000</v>
      </c>
      <c r="I737" s="74">
        <v>1</v>
      </c>
      <c r="J737" s="29">
        <v>1500</v>
      </c>
      <c r="K737" s="29"/>
      <c r="L737" s="29">
        <v>15</v>
      </c>
      <c r="M737" s="29"/>
      <c r="N737" s="29"/>
      <c r="O737" s="29"/>
      <c r="P737" s="73">
        <f t="shared" si="52"/>
        <v>2160000</v>
      </c>
      <c r="Q737" s="75" t="s">
        <v>52</v>
      </c>
    </row>
    <row r="738" spans="1:17" x14ac:dyDescent="0.25">
      <c r="A738" s="26" t="s">
        <v>81</v>
      </c>
      <c r="B738" s="60" t="s">
        <v>13</v>
      </c>
      <c r="C738" s="60" t="s">
        <v>24</v>
      </c>
      <c r="D738" s="60" t="s">
        <v>192</v>
      </c>
      <c r="E738" s="60">
        <v>1</v>
      </c>
      <c r="F738" s="60" t="s">
        <v>7</v>
      </c>
      <c r="G738" s="72" t="s">
        <v>83</v>
      </c>
      <c r="H738" s="73">
        <v>2160000</v>
      </c>
      <c r="I738" s="74">
        <v>1</v>
      </c>
      <c r="J738" s="29">
        <v>2500</v>
      </c>
      <c r="K738" s="29"/>
      <c r="L738" s="29">
        <v>15</v>
      </c>
      <c r="M738" s="29"/>
      <c r="N738" s="29"/>
      <c r="O738" s="29"/>
      <c r="P738" s="73">
        <f t="shared" si="52"/>
        <v>2160000</v>
      </c>
      <c r="Q738" s="75" t="s">
        <v>52</v>
      </c>
    </row>
    <row r="739" spans="1:17" x14ac:dyDescent="0.25">
      <c r="A739" s="26" t="s">
        <v>81</v>
      </c>
      <c r="B739" s="60" t="s">
        <v>13</v>
      </c>
      <c r="C739" s="60" t="s">
        <v>24</v>
      </c>
      <c r="D739" s="60" t="s">
        <v>25</v>
      </c>
      <c r="E739" s="60">
        <v>2</v>
      </c>
      <c r="F739" s="60" t="s">
        <v>7</v>
      </c>
      <c r="G739" s="72" t="s">
        <v>83</v>
      </c>
      <c r="H739" s="73">
        <v>2160000</v>
      </c>
      <c r="I739" s="74">
        <v>1</v>
      </c>
      <c r="J739" s="29">
        <v>500</v>
      </c>
      <c r="K739" s="29"/>
      <c r="L739" s="29">
        <v>25</v>
      </c>
      <c r="M739" s="29"/>
      <c r="N739" s="29"/>
      <c r="O739" s="29"/>
      <c r="P739" s="73">
        <f t="shared" si="52"/>
        <v>2160000</v>
      </c>
      <c r="Q739" s="75" t="s">
        <v>52</v>
      </c>
    </row>
    <row r="740" spans="1:17" x14ac:dyDescent="0.25">
      <c r="A740" s="26" t="s">
        <v>81</v>
      </c>
      <c r="B740" s="60" t="s">
        <v>13</v>
      </c>
      <c r="C740" s="60" t="s">
        <v>24</v>
      </c>
      <c r="D740" s="60" t="s">
        <v>26</v>
      </c>
      <c r="E740" s="60">
        <v>2</v>
      </c>
      <c r="F740" s="60" t="s">
        <v>7</v>
      </c>
      <c r="G740" s="72" t="s">
        <v>83</v>
      </c>
      <c r="H740" s="73">
        <v>2160000</v>
      </c>
      <c r="I740" s="74">
        <v>1</v>
      </c>
      <c r="J740" s="29">
        <v>1000</v>
      </c>
      <c r="K740" s="29"/>
      <c r="L740" s="29">
        <v>25</v>
      </c>
      <c r="M740" s="29"/>
      <c r="N740" s="29"/>
      <c r="O740" s="29"/>
      <c r="P740" s="73">
        <f t="shared" si="52"/>
        <v>2160000</v>
      </c>
      <c r="Q740" s="75" t="s">
        <v>52</v>
      </c>
    </row>
    <row r="741" spans="1:17" x14ac:dyDescent="0.25">
      <c r="A741" s="26" t="s">
        <v>81</v>
      </c>
      <c r="B741" s="60" t="s">
        <v>13</v>
      </c>
      <c r="C741" s="60" t="s">
        <v>24</v>
      </c>
      <c r="D741" s="60" t="s">
        <v>27</v>
      </c>
      <c r="E741" s="60">
        <v>2</v>
      </c>
      <c r="F741" s="60" t="s">
        <v>7</v>
      </c>
      <c r="G741" s="72" t="s">
        <v>83</v>
      </c>
      <c r="H741" s="73">
        <v>2160000</v>
      </c>
      <c r="I741" s="74">
        <v>1</v>
      </c>
      <c r="J741" s="29">
        <v>1500</v>
      </c>
      <c r="K741" s="29"/>
      <c r="L741" s="29">
        <v>25</v>
      </c>
      <c r="M741" s="29"/>
      <c r="N741" s="29"/>
      <c r="O741" s="29"/>
      <c r="P741" s="73">
        <f t="shared" si="52"/>
        <v>2160000</v>
      </c>
      <c r="Q741" s="75" t="s">
        <v>52</v>
      </c>
    </row>
    <row r="742" spans="1:17" x14ac:dyDescent="0.25">
      <c r="A742" s="26" t="s">
        <v>81</v>
      </c>
      <c r="B742" s="60" t="s">
        <v>13</v>
      </c>
      <c r="C742" s="60" t="s">
        <v>24</v>
      </c>
      <c r="D742" s="60" t="s">
        <v>28</v>
      </c>
      <c r="E742" s="60">
        <v>2</v>
      </c>
      <c r="F742" s="60" t="s">
        <v>7</v>
      </c>
      <c r="G742" s="72" t="s">
        <v>83</v>
      </c>
      <c r="H742" s="73">
        <v>2160000</v>
      </c>
      <c r="I742" s="74">
        <v>1</v>
      </c>
      <c r="J742" s="29">
        <v>2500</v>
      </c>
      <c r="K742" s="29"/>
      <c r="L742" s="29">
        <v>25</v>
      </c>
      <c r="M742" s="29"/>
      <c r="N742" s="29"/>
      <c r="O742" s="29"/>
      <c r="P742" s="73">
        <f t="shared" si="52"/>
        <v>2160000</v>
      </c>
      <c r="Q742" s="75" t="s">
        <v>52</v>
      </c>
    </row>
    <row r="743" spans="1:17" x14ac:dyDescent="0.25">
      <c r="A743" s="26" t="s">
        <v>81</v>
      </c>
      <c r="B743" s="60" t="s">
        <v>13</v>
      </c>
      <c r="C743" s="60" t="s">
        <v>24</v>
      </c>
      <c r="D743" s="60" t="s">
        <v>197</v>
      </c>
      <c r="E743" s="60">
        <v>2</v>
      </c>
      <c r="F743" s="60" t="s">
        <v>7</v>
      </c>
      <c r="G743" s="72" t="s">
        <v>83</v>
      </c>
      <c r="H743" s="73">
        <v>2160000</v>
      </c>
      <c r="I743" s="74">
        <v>1</v>
      </c>
      <c r="J743" s="29">
        <v>500</v>
      </c>
      <c r="K743" s="29"/>
      <c r="L743" s="29">
        <v>15</v>
      </c>
      <c r="M743" s="29"/>
      <c r="N743" s="29"/>
      <c r="O743" s="29"/>
      <c r="P743" s="73">
        <f t="shared" si="52"/>
        <v>2160000</v>
      </c>
      <c r="Q743" s="75" t="s">
        <v>52</v>
      </c>
    </row>
    <row r="744" spans="1:17" x14ac:dyDescent="0.25">
      <c r="A744" s="26" t="s">
        <v>81</v>
      </c>
      <c r="B744" s="60" t="s">
        <v>13</v>
      </c>
      <c r="C744" s="60" t="s">
        <v>24</v>
      </c>
      <c r="D744" s="60" t="s">
        <v>198</v>
      </c>
      <c r="E744" s="60">
        <v>2</v>
      </c>
      <c r="F744" s="60" t="s">
        <v>7</v>
      </c>
      <c r="G744" s="72" t="s">
        <v>83</v>
      </c>
      <c r="H744" s="73">
        <v>2160000</v>
      </c>
      <c r="I744" s="74">
        <v>1</v>
      </c>
      <c r="J744" s="29">
        <v>1000</v>
      </c>
      <c r="K744" s="29"/>
      <c r="L744" s="29">
        <v>15</v>
      </c>
      <c r="M744" s="29"/>
      <c r="N744" s="29"/>
      <c r="O744" s="29"/>
      <c r="P744" s="73">
        <f t="shared" si="52"/>
        <v>2160000</v>
      </c>
      <c r="Q744" s="75" t="s">
        <v>52</v>
      </c>
    </row>
    <row r="745" spans="1:17" x14ac:dyDescent="0.25">
      <c r="A745" s="26" t="s">
        <v>81</v>
      </c>
      <c r="B745" s="60" t="s">
        <v>13</v>
      </c>
      <c r="C745" s="60" t="s">
        <v>24</v>
      </c>
      <c r="D745" s="60" t="s">
        <v>199</v>
      </c>
      <c r="E745" s="60">
        <v>2</v>
      </c>
      <c r="F745" s="60" t="s">
        <v>7</v>
      </c>
      <c r="G745" s="72" t="s">
        <v>83</v>
      </c>
      <c r="H745" s="73">
        <v>2160000</v>
      </c>
      <c r="I745" s="74">
        <v>1</v>
      </c>
      <c r="J745" s="29">
        <v>1500</v>
      </c>
      <c r="K745" s="29"/>
      <c r="L745" s="29">
        <v>15</v>
      </c>
      <c r="M745" s="29"/>
      <c r="N745" s="29"/>
      <c r="O745" s="29"/>
      <c r="P745" s="73">
        <f t="shared" si="52"/>
        <v>2160000</v>
      </c>
      <c r="Q745" s="75" t="s">
        <v>52</v>
      </c>
    </row>
    <row r="746" spans="1:17" x14ac:dyDescent="0.25">
      <c r="A746" s="26" t="s">
        <v>81</v>
      </c>
      <c r="B746" s="60" t="s">
        <v>13</v>
      </c>
      <c r="C746" s="60" t="s">
        <v>24</v>
      </c>
      <c r="D746" s="60" t="s">
        <v>200</v>
      </c>
      <c r="E746" s="60">
        <v>2</v>
      </c>
      <c r="F746" s="60" t="s">
        <v>7</v>
      </c>
      <c r="G746" s="72" t="s">
        <v>83</v>
      </c>
      <c r="H746" s="73">
        <v>2160000</v>
      </c>
      <c r="I746" s="74">
        <v>1</v>
      </c>
      <c r="J746" s="29">
        <v>2500</v>
      </c>
      <c r="K746" s="29"/>
      <c r="L746" s="29">
        <v>15</v>
      </c>
      <c r="M746" s="29"/>
      <c r="N746" s="29"/>
      <c r="O746" s="29"/>
      <c r="P746" s="73">
        <f t="shared" si="52"/>
        <v>2160000</v>
      </c>
      <c r="Q746" s="75" t="s">
        <v>52</v>
      </c>
    </row>
    <row r="747" spans="1:17" x14ac:dyDescent="0.25">
      <c r="A747" s="26" t="s">
        <v>81</v>
      </c>
      <c r="B747" s="60" t="s">
        <v>13</v>
      </c>
      <c r="C747" s="60" t="s">
        <v>24</v>
      </c>
      <c r="D747" s="60" t="s">
        <v>25</v>
      </c>
      <c r="E747" s="60">
        <v>3</v>
      </c>
      <c r="F747" s="60" t="s">
        <v>7</v>
      </c>
      <c r="G747" s="72" t="s">
        <v>83</v>
      </c>
      <c r="H747" s="73">
        <v>2160000</v>
      </c>
      <c r="I747" s="74">
        <v>1</v>
      </c>
      <c r="J747" s="29">
        <v>500</v>
      </c>
      <c r="K747" s="29"/>
      <c r="L747" s="29">
        <v>25</v>
      </c>
      <c r="M747" s="29"/>
      <c r="N747" s="29"/>
      <c r="O747" s="29"/>
      <c r="P747" s="73">
        <f t="shared" ref="P747:P754" si="55">+I747*H747</f>
        <v>2160000</v>
      </c>
      <c r="Q747" s="75" t="s">
        <v>52</v>
      </c>
    </row>
    <row r="748" spans="1:17" x14ac:dyDescent="0.25">
      <c r="A748" s="26" t="s">
        <v>81</v>
      </c>
      <c r="B748" s="60" t="s">
        <v>13</v>
      </c>
      <c r="C748" s="60" t="s">
        <v>24</v>
      </c>
      <c r="D748" s="60" t="s">
        <v>26</v>
      </c>
      <c r="E748" s="60">
        <v>3</v>
      </c>
      <c r="F748" s="60" t="s">
        <v>7</v>
      </c>
      <c r="G748" s="72" t="s">
        <v>83</v>
      </c>
      <c r="H748" s="73">
        <v>2160000</v>
      </c>
      <c r="I748" s="74">
        <v>1</v>
      </c>
      <c r="J748" s="29">
        <v>1000</v>
      </c>
      <c r="K748" s="29"/>
      <c r="L748" s="29">
        <v>25</v>
      </c>
      <c r="M748" s="29"/>
      <c r="N748" s="29"/>
      <c r="O748" s="29"/>
      <c r="P748" s="73">
        <f t="shared" si="55"/>
        <v>2160000</v>
      </c>
      <c r="Q748" s="75" t="s">
        <v>52</v>
      </c>
    </row>
    <row r="749" spans="1:17" x14ac:dyDescent="0.25">
      <c r="A749" s="26" t="s">
        <v>81</v>
      </c>
      <c r="B749" s="60" t="s">
        <v>13</v>
      </c>
      <c r="C749" s="60" t="s">
        <v>24</v>
      </c>
      <c r="D749" s="60" t="s">
        <v>27</v>
      </c>
      <c r="E749" s="60">
        <v>3</v>
      </c>
      <c r="F749" s="60" t="s">
        <v>7</v>
      </c>
      <c r="G749" s="72" t="s">
        <v>83</v>
      </c>
      <c r="H749" s="73">
        <v>2160000</v>
      </c>
      <c r="I749" s="74">
        <v>1</v>
      </c>
      <c r="J749" s="29">
        <v>1500</v>
      </c>
      <c r="K749" s="29"/>
      <c r="L749" s="29">
        <v>25</v>
      </c>
      <c r="M749" s="29"/>
      <c r="N749" s="29"/>
      <c r="O749" s="29"/>
      <c r="P749" s="73">
        <f t="shared" si="55"/>
        <v>2160000</v>
      </c>
      <c r="Q749" s="75" t="s">
        <v>52</v>
      </c>
    </row>
    <row r="750" spans="1:17" x14ac:dyDescent="0.25">
      <c r="A750" s="26" t="s">
        <v>81</v>
      </c>
      <c r="B750" s="60" t="s">
        <v>13</v>
      </c>
      <c r="C750" s="60" t="s">
        <v>24</v>
      </c>
      <c r="D750" s="60" t="s">
        <v>28</v>
      </c>
      <c r="E750" s="60">
        <v>3</v>
      </c>
      <c r="F750" s="60" t="s">
        <v>7</v>
      </c>
      <c r="G750" s="72" t="s">
        <v>83</v>
      </c>
      <c r="H750" s="73">
        <v>2160000</v>
      </c>
      <c r="I750" s="74">
        <v>1</v>
      </c>
      <c r="J750" s="29">
        <v>2500</v>
      </c>
      <c r="K750" s="29"/>
      <c r="L750" s="29">
        <v>25</v>
      </c>
      <c r="M750" s="29"/>
      <c r="N750" s="29"/>
      <c r="O750" s="29"/>
      <c r="P750" s="73">
        <f t="shared" si="55"/>
        <v>2160000</v>
      </c>
      <c r="Q750" s="75" t="s">
        <v>52</v>
      </c>
    </row>
    <row r="751" spans="1:17" x14ac:dyDescent="0.25">
      <c r="A751" s="26" t="s">
        <v>81</v>
      </c>
      <c r="B751" s="60" t="s">
        <v>13</v>
      </c>
      <c r="C751" s="60" t="s">
        <v>24</v>
      </c>
      <c r="D751" s="60" t="s">
        <v>197</v>
      </c>
      <c r="E751" s="60">
        <v>3</v>
      </c>
      <c r="F751" s="60" t="s">
        <v>7</v>
      </c>
      <c r="G751" s="72" t="s">
        <v>83</v>
      </c>
      <c r="H751" s="73">
        <v>2160000</v>
      </c>
      <c r="I751" s="74">
        <v>1</v>
      </c>
      <c r="J751" s="29">
        <v>500</v>
      </c>
      <c r="K751" s="29"/>
      <c r="L751" s="29">
        <v>15</v>
      </c>
      <c r="M751" s="29"/>
      <c r="N751" s="29"/>
      <c r="O751" s="29"/>
      <c r="P751" s="73">
        <f t="shared" si="55"/>
        <v>2160000</v>
      </c>
      <c r="Q751" s="75" t="s">
        <v>52</v>
      </c>
    </row>
    <row r="752" spans="1:17" x14ac:dyDescent="0.25">
      <c r="A752" s="26" t="s">
        <v>81</v>
      </c>
      <c r="B752" s="60" t="s">
        <v>13</v>
      </c>
      <c r="C752" s="60" t="s">
        <v>24</v>
      </c>
      <c r="D752" s="60" t="s">
        <v>198</v>
      </c>
      <c r="E752" s="60">
        <v>3</v>
      </c>
      <c r="F752" s="60" t="s">
        <v>7</v>
      </c>
      <c r="G752" s="72" t="s">
        <v>83</v>
      </c>
      <c r="H752" s="73">
        <v>2160000</v>
      </c>
      <c r="I752" s="74">
        <v>1</v>
      </c>
      <c r="J752" s="29">
        <v>1000</v>
      </c>
      <c r="K752" s="29"/>
      <c r="L752" s="29">
        <v>15</v>
      </c>
      <c r="M752" s="29"/>
      <c r="N752" s="29"/>
      <c r="O752" s="29"/>
      <c r="P752" s="73">
        <f t="shared" si="55"/>
        <v>2160000</v>
      </c>
      <c r="Q752" s="75" t="s">
        <v>52</v>
      </c>
    </row>
    <row r="753" spans="1:17" x14ac:dyDescent="0.25">
      <c r="A753" s="26" t="s">
        <v>81</v>
      </c>
      <c r="B753" s="60" t="s">
        <v>13</v>
      </c>
      <c r="C753" s="60" t="s">
        <v>24</v>
      </c>
      <c r="D753" s="60" t="s">
        <v>199</v>
      </c>
      <c r="E753" s="60">
        <v>3</v>
      </c>
      <c r="F753" s="60" t="s">
        <v>7</v>
      </c>
      <c r="G753" s="72" t="s">
        <v>83</v>
      </c>
      <c r="H753" s="73">
        <v>2160000</v>
      </c>
      <c r="I753" s="74">
        <v>1</v>
      </c>
      <c r="J753" s="29">
        <v>1500</v>
      </c>
      <c r="K753" s="29"/>
      <c r="L753" s="29">
        <v>15</v>
      </c>
      <c r="M753" s="29"/>
      <c r="N753" s="29"/>
      <c r="O753" s="29"/>
      <c r="P753" s="73">
        <f t="shared" si="55"/>
        <v>2160000</v>
      </c>
      <c r="Q753" s="75" t="s">
        <v>52</v>
      </c>
    </row>
    <row r="754" spans="1:17" x14ac:dyDescent="0.25">
      <c r="A754" s="26" t="s">
        <v>81</v>
      </c>
      <c r="B754" s="60" t="s">
        <v>13</v>
      </c>
      <c r="C754" s="60" t="s">
        <v>24</v>
      </c>
      <c r="D754" s="60" t="s">
        <v>200</v>
      </c>
      <c r="E754" s="60">
        <v>3</v>
      </c>
      <c r="F754" s="60" t="s">
        <v>7</v>
      </c>
      <c r="G754" s="72" t="s">
        <v>83</v>
      </c>
      <c r="H754" s="73">
        <v>2160000</v>
      </c>
      <c r="I754" s="74">
        <v>1</v>
      </c>
      <c r="J754" s="29">
        <v>2500</v>
      </c>
      <c r="K754" s="29"/>
      <c r="L754" s="29">
        <v>15</v>
      </c>
      <c r="M754" s="29"/>
      <c r="N754" s="29"/>
      <c r="O754" s="29"/>
      <c r="P754" s="73">
        <f t="shared" si="55"/>
        <v>2160000</v>
      </c>
      <c r="Q754" s="75" t="s">
        <v>52</v>
      </c>
    </row>
    <row r="755" spans="1:17" x14ac:dyDescent="0.25">
      <c r="A755" s="26" t="s">
        <v>81</v>
      </c>
      <c r="B755" s="60" t="s">
        <v>13</v>
      </c>
      <c r="C755" s="60" t="s">
        <v>29</v>
      </c>
      <c r="D755" s="60" t="s">
        <v>185</v>
      </c>
      <c r="E755" s="60">
        <v>1</v>
      </c>
      <c r="F755" s="60" t="s">
        <v>7</v>
      </c>
      <c r="G755" s="72" t="s">
        <v>11</v>
      </c>
      <c r="H755" s="73">
        <v>3930901.52</v>
      </c>
      <c r="I755" s="74">
        <v>1</v>
      </c>
      <c r="J755" s="29">
        <v>500</v>
      </c>
      <c r="K755" s="29"/>
      <c r="L755" s="29">
        <v>25</v>
      </c>
      <c r="M755" s="29"/>
      <c r="N755" s="29"/>
      <c r="O755" s="29"/>
      <c r="P755" s="73">
        <f t="shared" si="52"/>
        <v>3930901.52</v>
      </c>
      <c r="Q755" s="75" t="s">
        <v>52</v>
      </c>
    </row>
    <row r="756" spans="1:17" x14ac:dyDescent="0.25">
      <c r="A756" s="26" t="s">
        <v>81</v>
      </c>
      <c r="B756" s="60" t="s">
        <v>13</v>
      </c>
      <c r="C756" s="60" t="s">
        <v>29</v>
      </c>
      <c r="D756" s="60" t="s">
        <v>186</v>
      </c>
      <c r="E756" s="60">
        <v>1</v>
      </c>
      <c r="F756" s="60" t="s">
        <v>7</v>
      </c>
      <c r="G756" s="72" t="s">
        <v>11</v>
      </c>
      <c r="H756" s="73">
        <v>3930901.52</v>
      </c>
      <c r="I756" s="74">
        <v>1</v>
      </c>
      <c r="J756" s="29">
        <v>1000</v>
      </c>
      <c r="K756" s="29"/>
      <c r="L756" s="29">
        <v>25</v>
      </c>
      <c r="M756" s="29"/>
      <c r="N756" s="29"/>
      <c r="O756" s="29"/>
      <c r="P756" s="73">
        <f t="shared" si="52"/>
        <v>3930901.52</v>
      </c>
      <c r="Q756" s="75" t="s">
        <v>52</v>
      </c>
    </row>
    <row r="757" spans="1:17" x14ac:dyDescent="0.25">
      <c r="A757" s="26" t="s">
        <v>81</v>
      </c>
      <c r="B757" s="60" t="s">
        <v>13</v>
      </c>
      <c r="C757" s="60" t="s">
        <v>29</v>
      </c>
      <c r="D757" s="60" t="s">
        <v>187</v>
      </c>
      <c r="E757" s="60">
        <v>1</v>
      </c>
      <c r="F757" s="60" t="s">
        <v>7</v>
      </c>
      <c r="G757" s="72" t="s">
        <v>11</v>
      </c>
      <c r="H757" s="73">
        <v>3930901.52</v>
      </c>
      <c r="I757" s="74">
        <v>1</v>
      </c>
      <c r="J757" s="29">
        <v>1500</v>
      </c>
      <c r="K757" s="29"/>
      <c r="L757" s="29">
        <v>25</v>
      </c>
      <c r="M757" s="29"/>
      <c r="N757" s="29"/>
      <c r="O757" s="29"/>
      <c r="P757" s="73">
        <f t="shared" si="52"/>
        <v>3930901.52</v>
      </c>
      <c r="Q757" s="75" t="s">
        <v>52</v>
      </c>
    </row>
    <row r="758" spans="1:17" x14ac:dyDescent="0.25">
      <c r="A758" s="26" t="s">
        <v>81</v>
      </c>
      <c r="B758" s="60" t="s">
        <v>13</v>
      </c>
      <c r="C758" s="60" t="s">
        <v>29</v>
      </c>
      <c r="D758" s="60" t="s">
        <v>188</v>
      </c>
      <c r="E758" s="60">
        <v>1</v>
      </c>
      <c r="F758" s="60" t="s">
        <v>7</v>
      </c>
      <c r="G758" s="72" t="s">
        <v>11</v>
      </c>
      <c r="H758" s="73">
        <v>3930901.52</v>
      </c>
      <c r="I758" s="74">
        <v>1</v>
      </c>
      <c r="J758" s="29">
        <v>2500</v>
      </c>
      <c r="K758" s="29"/>
      <c r="L758" s="29">
        <v>25</v>
      </c>
      <c r="M758" s="29"/>
      <c r="N758" s="29"/>
      <c r="O758" s="29"/>
      <c r="P758" s="73">
        <f t="shared" si="52"/>
        <v>3930901.52</v>
      </c>
      <c r="Q758" s="75" t="s">
        <v>52</v>
      </c>
    </row>
    <row r="759" spans="1:17" x14ac:dyDescent="0.25">
      <c r="A759" s="26" t="s">
        <v>81</v>
      </c>
      <c r="B759" s="60" t="s">
        <v>13</v>
      </c>
      <c r="C759" s="60" t="s">
        <v>29</v>
      </c>
      <c r="D759" s="60" t="s">
        <v>189</v>
      </c>
      <c r="E759" s="60">
        <v>1</v>
      </c>
      <c r="F759" s="60" t="s">
        <v>7</v>
      </c>
      <c r="G759" s="72" t="s">
        <v>11</v>
      </c>
      <c r="H759" s="73">
        <v>3930901.52</v>
      </c>
      <c r="I759" s="74">
        <v>1</v>
      </c>
      <c r="J759" s="29">
        <v>500</v>
      </c>
      <c r="K759" s="29"/>
      <c r="L759" s="29">
        <v>15</v>
      </c>
      <c r="M759" s="29"/>
      <c r="N759" s="29"/>
      <c r="O759" s="29"/>
      <c r="P759" s="73">
        <f t="shared" si="52"/>
        <v>3930901.52</v>
      </c>
      <c r="Q759" s="75" t="s">
        <v>52</v>
      </c>
    </row>
    <row r="760" spans="1:17" x14ac:dyDescent="0.25">
      <c r="A760" s="26" t="s">
        <v>81</v>
      </c>
      <c r="B760" s="60" t="s">
        <v>13</v>
      </c>
      <c r="C760" s="60" t="s">
        <v>29</v>
      </c>
      <c r="D760" s="60" t="s">
        <v>190</v>
      </c>
      <c r="E760" s="60">
        <v>1</v>
      </c>
      <c r="F760" s="60" t="s">
        <v>7</v>
      </c>
      <c r="G760" s="72" t="s">
        <v>11</v>
      </c>
      <c r="H760" s="73">
        <v>3930901.52</v>
      </c>
      <c r="I760" s="74">
        <v>1</v>
      </c>
      <c r="J760" s="29">
        <v>1000</v>
      </c>
      <c r="K760" s="29"/>
      <c r="L760" s="29">
        <v>15</v>
      </c>
      <c r="M760" s="29"/>
      <c r="N760" s="29"/>
      <c r="O760" s="29"/>
      <c r="P760" s="73">
        <f t="shared" si="52"/>
        <v>3930901.52</v>
      </c>
      <c r="Q760" s="75" t="s">
        <v>52</v>
      </c>
    </row>
    <row r="761" spans="1:17" x14ac:dyDescent="0.25">
      <c r="A761" s="26" t="s">
        <v>81</v>
      </c>
      <c r="B761" s="60" t="s">
        <v>13</v>
      </c>
      <c r="C761" s="60" t="s">
        <v>29</v>
      </c>
      <c r="D761" s="60" t="s">
        <v>191</v>
      </c>
      <c r="E761" s="60">
        <v>1</v>
      </c>
      <c r="F761" s="60" t="s">
        <v>7</v>
      </c>
      <c r="G761" s="72" t="s">
        <v>11</v>
      </c>
      <c r="H761" s="73">
        <v>3930901.52</v>
      </c>
      <c r="I761" s="74">
        <v>1</v>
      </c>
      <c r="J761" s="29">
        <v>1500</v>
      </c>
      <c r="K761" s="29"/>
      <c r="L761" s="29">
        <v>15</v>
      </c>
      <c r="M761" s="29"/>
      <c r="N761" s="29"/>
      <c r="O761" s="29"/>
      <c r="P761" s="73">
        <f t="shared" si="52"/>
        <v>3930901.52</v>
      </c>
      <c r="Q761" s="75" t="s">
        <v>52</v>
      </c>
    </row>
    <row r="762" spans="1:17" x14ac:dyDescent="0.25">
      <c r="A762" s="26" t="s">
        <v>81</v>
      </c>
      <c r="B762" s="60" t="s">
        <v>13</v>
      </c>
      <c r="C762" s="60" t="s">
        <v>29</v>
      </c>
      <c r="D762" s="60" t="s">
        <v>192</v>
      </c>
      <c r="E762" s="60">
        <v>1</v>
      </c>
      <c r="F762" s="60" t="s">
        <v>7</v>
      </c>
      <c r="G762" s="72" t="s">
        <v>11</v>
      </c>
      <c r="H762" s="73">
        <v>3930901.52</v>
      </c>
      <c r="I762" s="74">
        <v>1</v>
      </c>
      <c r="J762" s="29">
        <v>2500</v>
      </c>
      <c r="K762" s="29"/>
      <c r="L762" s="29">
        <v>15</v>
      </c>
      <c r="M762" s="29"/>
      <c r="N762" s="29"/>
      <c r="O762" s="29"/>
      <c r="P762" s="73">
        <f t="shared" si="52"/>
        <v>3930901.52</v>
      </c>
      <c r="Q762" s="75" t="s">
        <v>52</v>
      </c>
    </row>
    <row r="763" spans="1:17" x14ac:dyDescent="0.25">
      <c r="A763" s="26" t="s">
        <v>81</v>
      </c>
      <c r="B763" s="60" t="s">
        <v>13</v>
      </c>
      <c r="C763" s="60" t="s">
        <v>29</v>
      </c>
      <c r="D763" s="60" t="s">
        <v>25</v>
      </c>
      <c r="E763" s="60">
        <v>2</v>
      </c>
      <c r="F763" s="60" t="s">
        <v>7</v>
      </c>
      <c r="G763" s="72" t="s">
        <v>11</v>
      </c>
      <c r="H763" s="73">
        <v>3930901.52</v>
      </c>
      <c r="I763" s="74">
        <v>1</v>
      </c>
      <c r="J763" s="29">
        <v>500</v>
      </c>
      <c r="K763" s="29"/>
      <c r="L763" s="29">
        <v>25</v>
      </c>
      <c r="M763" s="29"/>
      <c r="N763" s="29"/>
      <c r="O763" s="29"/>
      <c r="P763" s="73">
        <f t="shared" si="52"/>
        <v>3930901.52</v>
      </c>
      <c r="Q763" s="75" t="s">
        <v>52</v>
      </c>
    </row>
    <row r="764" spans="1:17" x14ac:dyDescent="0.25">
      <c r="A764" s="26" t="s">
        <v>81</v>
      </c>
      <c r="B764" s="60" t="s">
        <v>13</v>
      </c>
      <c r="C764" s="60" t="s">
        <v>29</v>
      </c>
      <c r="D764" s="60" t="s">
        <v>26</v>
      </c>
      <c r="E764" s="60">
        <v>2</v>
      </c>
      <c r="F764" s="60" t="s">
        <v>7</v>
      </c>
      <c r="G764" s="72" t="s">
        <v>11</v>
      </c>
      <c r="H764" s="73">
        <v>3930901.52</v>
      </c>
      <c r="I764" s="74">
        <v>1</v>
      </c>
      <c r="J764" s="29">
        <v>1000</v>
      </c>
      <c r="K764" s="29"/>
      <c r="L764" s="29">
        <v>25</v>
      </c>
      <c r="M764" s="29"/>
      <c r="N764" s="29"/>
      <c r="O764" s="29"/>
      <c r="P764" s="73">
        <f t="shared" si="52"/>
        <v>3930901.52</v>
      </c>
      <c r="Q764" s="75" t="s">
        <v>52</v>
      </c>
    </row>
    <row r="765" spans="1:17" x14ac:dyDescent="0.25">
      <c r="A765" s="26" t="s">
        <v>81</v>
      </c>
      <c r="B765" s="60" t="s">
        <v>13</v>
      </c>
      <c r="C765" s="60" t="s">
        <v>29</v>
      </c>
      <c r="D765" s="60" t="s">
        <v>27</v>
      </c>
      <c r="E765" s="60">
        <v>2</v>
      </c>
      <c r="F765" s="60" t="s">
        <v>7</v>
      </c>
      <c r="G765" s="72" t="s">
        <v>11</v>
      </c>
      <c r="H765" s="73">
        <v>3930901.52</v>
      </c>
      <c r="I765" s="74">
        <v>1</v>
      </c>
      <c r="J765" s="29">
        <v>1500</v>
      </c>
      <c r="K765" s="29"/>
      <c r="L765" s="29">
        <v>25</v>
      </c>
      <c r="M765" s="29"/>
      <c r="N765" s="29"/>
      <c r="O765" s="29"/>
      <c r="P765" s="73">
        <f t="shared" si="52"/>
        <v>3930901.52</v>
      </c>
      <c r="Q765" s="75" t="s">
        <v>52</v>
      </c>
    </row>
    <row r="766" spans="1:17" x14ac:dyDescent="0.25">
      <c r="A766" s="26" t="s">
        <v>81</v>
      </c>
      <c r="B766" s="60" t="s">
        <v>13</v>
      </c>
      <c r="C766" s="60" t="s">
        <v>29</v>
      </c>
      <c r="D766" s="60" t="s">
        <v>28</v>
      </c>
      <c r="E766" s="60">
        <v>2</v>
      </c>
      <c r="F766" s="60" t="s">
        <v>7</v>
      </c>
      <c r="G766" s="72" t="s">
        <v>11</v>
      </c>
      <c r="H766" s="73">
        <v>3930901.52</v>
      </c>
      <c r="I766" s="74">
        <v>1</v>
      </c>
      <c r="J766" s="29">
        <v>2500</v>
      </c>
      <c r="K766" s="29"/>
      <c r="L766" s="29">
        <v>25</v>
      </c>
      <c r="M766" s="29"/>
      <c r="N766" s="29"/>
      <c r="O766" s="29"/>
      <c r="P766" s="73">
        <f t="shared" si="52"/>
        <v>3930901.52</v>
      </c>
      <c r="Q766" s="75" t="s">
        <v>52</v>
      </c>
    </row>
    <row r="767" spans="1:17" x14ac:dyDescent="0.25">
      <c r="A767" s="26" t="s">
        <v>81</v>
      </c>
      <c r="B767" s="60" t="s">
        <v>13</v>
      </c>
      <c r="C767" s="60" t="s">
        <v>29</v>
      </c>
      <c r="D767" s="60" t="s">
        <v>197</v>
      </c>
      <c r="E767" s="60">
        <v>2</v>
      </c>
      <c r="F767" s="60" t="s">
        <v>7</v>
      </c>
      <c r="G767" s="72" t="s">
        <v>11</v>
      </c>
      <c r="H767" s="73">
        <v>3930901.52</v>
      </c>
      <c r="I767" s="74">
        <v>1</v>
      </c>
      <c r="J767" s="29">
        <v>500</v>
      </c>
      <c r="K767" s="29"/>
      <c r="L767" s="29">
        <v>15</v>
      </c>
      <c r="M767" s="29"/>
      <c r="N767" s="29"/>
      <c r="O767" s="29"/>
      <c r="P767" s="73">
        <f t="shared" si="52"/>
        <v>3930901.52</v>
      </c>
      <c r="Q767" s="75" t="s">
        <v>52</v>
      </c>
    </row>
    <row r="768" spans="1:17" x14ac:dyDescent="0.25">
      <c r="A768" s="26" t="s">
        <v>81</v>
      </c>
      <c r="B768" s="60" t="s">
        <v>13</v>
      </c>
      <c r="C768" s="60" t="s">
        <v>29</v>
      </c>
      <c r="D768" s="60" t="s">
        <v>198</v>
      </c>
      <c r="E768" s="60">
        <v>2</v>
      </c>
      <c r="F768" s="60" t="s">
        <v>7</v>
      </c>
      <c r="G768" s="72" t="s">
        <v>11</v>
      </c>
      <c r="H768" s="73">
        <v>3930901.52</v>
      </c>
      <c r="I768" s="74">
        <v>1</v>
      </c>
      <c r="J768" s="29">
        <v>1000</v>
      </c>
      <c r="K768" s="29"/>
      <c r="L768" s="29">
        <v>15</v>
      </c>
      <c r="M768" s="29"/>
      <c r="N768" s="29"/>
      <c r="O768" s="29"/>
      <c r="P768" s="73">
        <f t="shared" si="52"/>
        <v>3930901.52</v>
      </c>
      <c r="Q768" s="75" t="s">
        <v>52</v>
      </c>
    </row>
    <row r="769" spans="1:17" x14ac:dyDescent="0.25">
      <c r="A769" s="26" t="s">
        <v>81</v>
      </c>
      <c r="B769" s="60" t="s">
        <v>13</v>
      </c>
      <c r="C769" s="60" t="s">
        <v>29</v>
      </c>
      <c r="D769" s="60" t="s">
        <v>199</v>
      </c>
      <c r="E769" s="60">
        <v>2</v>
      </c>
      <c r="F769" s="60" t="s">
        <v>7</v>
      </c>
      <c r="G769" s="72" t="s">
        <v>11</v>
      </c>
      <c r="H769" s="73">
        <v>3930901.52</v>
      </c>
      <c r="I769" s="74">
        <v>1</v>
      </c>
      <c r="J769" s="29">
        <v>1500</v>
      </c>
      <c r="K769" s="29"/>
      <c r="L769" s="29">
        <v>15</v>
      </c>
      <c r="M769" s="29"/>
      <c r="N769" s="29"/>
      <c r="O769" s="29"/>
      <c r="P769" s="73">
        <f t="shared" si="52"/>
        <v>3930901.52</v>
      </c>
      <c r="Q769" s="75" t="s">
        <v>52</v>
      </c>
    </row>
    <row r="770" spans="1:17" x14ac:dyDescent="0.25">
      <c r="A770" s="26" t="s">
        <v>81</v>
      </c>
      <c r="B770" s="60" t="s">
        <v>13</v>
      </c>
      <c r="C770" s="60" t="s">
        <v>29</v>
      </c>
      <c r="D770" s="60" t="s">
        <v>200</v>
      </c>
      <c r="E770" s="60">
        <v>2</v>
      </c>
      <c r="F770" s="60" t="s">
        <v>7</v>
      </c>
      <c r="G770" s="72" t="s">
        <v>11</v>
      </c>
      <c r="H770" s="73">
        <v>3930901.52</v>
      </c>
      <c r="I770" s="74">
        <v>1</v>
      </c>
      <c r="J770" s="29">
        <v>2500</v>
      </c>
      <c r="K770" s="29"/>
      <c r="L770" s="29">
        <v>15</v>
      </c>
      <c r="M770" s="29"/>
      <c r="N770" s="29"/>
      <c r="O770" s="29"/>
      <c r="P770" s="73">
        <f t="shared" si="52"/>
        <v>3930901.52</v>
      </c>
      <c r="Q770" s="75" t="s">
        <v>52</v>
      </c>
    </row>
    <row r="771" spans="1:17" x14ac:dyDescent="0.25">
      <c r="A771" s="26" t="s">
        <v>81</v>
      </c>
      <c r="B771" s="60" t="s">
        <v>13</v>
      </c>
      <c r="C771" s="60" t="s">
        <v>29</v>
      </c>
      <c r="D771" s="60" t="s">
        <v>25</v>
      </c>
      <c r="E771" s="60">
        <v>3</v>
      </c>
      <c r="F771" s="60" t="s">
        <v>7</v>
      </c>
      <c r="G771" s="72" t="s">
        <v>11</v>
      </c>
      <c r="H771" s="73">
        <v>3930901.52</v>
      </c>
      <c r="I771" s="74">
        <v>1</v>
      </c>
      <c r="J771" s="29">
        <v>500</v>
      </c>
      <c r="K771" s="29"/>
      <c r="L771" s="29">
        <v>25</v>
      </c>
      <c r="M771" s="29"/>
      <c r="N771" s="29"/>
      <c r="O771" s="29"/>
      <c r="P771" s="73">
        <f t="shared" ref="P771:P778" si="56">+I771*H771</f>
        <v>3930901.52</v>
      </c>
      <c r="Q771" s="75" t="s">
        <v>52</v>
      </c>
    </row>
    <row r="772" spans="1:17" x14ac:dyDescent="0.25">
      <c r="A772" s="26" t="s">
        <v>81</v>
      </c>
      <c r="B772" s="60" t="s">
        <v>13</v>
      </c>
      <c r="C772" s="60" t="s">
        <v>29</v>
      </c>
      <c r="D772" s="60" t="s">
        <v>26</v>
      </c>
      <c r="E772" s="60">
        <v>3</v>
      </c>
      <c r="F772" s="60" t="s">
        <v>7</v>
      </c>
      <c r="G772" s="72" t="s">
        <v>11</v>
      </c>
      <c r="H772" s="73">
        <v>3930901.52</v>
      </c>
      <c r="I772" s="74">
        <v>1</v>
      </c>
      <c r="J772" s="29">
        <v>1000</v>
      </c>
      <c r="K772" s="29"/>
      <c r="L772" s="29">
        <v>25</v>
      </c>
      <c r="M772" s="29"/>
      <c r="N772" s="29"/>
      <c r="O772" s="29"/>
      <c r="P772" s="73">
        <f t="shared" si="56"/>
        <v>3930901.52</v>
      </c>
      <c r="Q772" s="75" t="s">
        <v>52</v>
      </c>
    </row>
    <row r="773" spans="1:17" x14ac:dyDescent="0.25">
      <c r="A773" s="26" t="s">
        <v>81</v>
      </c>
      <c r="B773" s="60" t="s">
        <v>13</v>
      </c>
      <c r="C773" s="60" t="s">
        <v>29</v>
      </c>
      <c r="D773" s="60" t="s">
        <v>27</v>
      </c>
      <c r="E773" s="60">
        <v>3</v>
      </c>
      <c r="F773" s="60" t="s">
        <v>7</v>
      </c>
      <c r="G773" s="72" t="s">
        <v>11</v>
      </c>
      <c r="H773" s="73">
        <v>3930901.52</v>
      </c>
      <c r="I773" s="74">
        <v>1</v>
      </c>
      <c r="J773" s="29">
        <v>1500</v>
      </c>
      <c r="K773" s="29"/>
      <c r="L773" s="29">
        <v>25</v>
      </c>
      <c r="M773" s="29"/>
      <c r="N773" s="29"/>
      <c r="O773" s="29"/>
      <c r="P773" s="73">
        <f t="shared" si="56"/>
        <v>3930901.52</v>
      </c>
      <c r="Q773" s="75" t="s">
        <v>52</v>
      </c>
    </row>
    <row r="774" spans="1:17" x14ac:dyDescent="0.25">
      <c r="A774" s="26" t="s">
        <v>81</v>
      </c>
      <c r="B774" s="60" t="s">
        <v>13</v>
      </c>
      <c r="C774" s="60" t="s">
        <v>29</v>
      </c>
      <c r="D774" s="60" t="s">
        <v>28</v>
      </c>
      <c r="E774" s="60">
        <v>3</v>
      </c>
      <c r="F774" s="60" t="s">
        <v>7</v>
      </c>
      <c r="G774" s="72" t="s">
        <v>11</v>
      </c>
      <c r="H774" s="73">
        <v>3930901.52</v>
      </c>
      <c r="I774" s="74">
        <v>1</v>
      </c>
      <c r="J774" s="29">
        <v>2500</v>
      </c>
      <c r="K774" s="29"/>
      <c r="L774" s="29">
        <v>25</v>
      </c>
      <c r="M774" s="29"/>
      <c r="N774" s="29"/>
      <c r="O774" s="29"/>
      <c r="P774" s="73">
        <f t="shared" si="56"/>
        <v>3930901.52</v>
      </c>
      <c r="Q774" s="75" t="s">
        <v>52</v>
      </c>
    </row>
    <row r="775" spans="1:17" x14ac:dyDescent="0.25">
      <c r="A775" s="26" t="s">
        <v>81</v>
      </c>
      <c r="B775" s="60" t="s">
        <v>13</v>
      </c>
      <c r="C775" s="60" t="s">
        <v>29</v>
      </c>
      <c r="D775" s="60" t="s">
        <v>197</v>
      </c>
      <c r="E775" s="60">
        <v>3</v>
      </c>
      <c r="F775" s="60" t="s">
        <v>7</v>
      </c>
      <c r="G775" s="72" t="s">
        <v>11</v>
      </c>
      <c r="H775" s="73">
        <v>3930901.52</v>
      </c>
      <c r="I775" s="74">
        <v>1</v>
      </c>
      <c r="J775" s="29">
        <v>500</v>
      </c>
      <c r="K775" s="29"/>
      <c r="L775" s="29">
        <v>15</v>
      </c>
      <c r="M775" s="29"/>
      <c r="N775" s="29"/>
      <c r="O775" s="29"/>
      <c r="P775" s="73">
        <f t="shared" si="56"/>
        <v>3930901.52</v>
      </c>
      <c r="Q775" s="75" t="s">
        <v>52</v>
      </c>
    </row>
    <row r="776" spans="1:17" x14ac:dyDescent="0.25">
      <c r="A776" s="26" t="s">
        <v>81</v>
      </c>
      <c r="B776" s="60" t="s">
        <v>13</v>
      </c>
      <c r="C776" s="60" t="s">
        <v>29</v>
      </c>
      <c r="D776" s="60" t="s">
        <v>198</v>
      </c>
      <c r="E776" s="60">
        <v>3</v>
      </c>
      <c r="F776" s="60" t="s">
        <v>7</v>
      </c>
      <c r="G776" s="72" t="s">
        <v>11</v>
      </c>
      <c r="H776" s="73">
        <v>3930901.52</v>
      </c>
      <c r="I776" s="74">
        <v>1</v>
      </c>
      <c r="J776" s="29">
        <v>1000</v>
      </c>
      <c r="K776" s="29"/>
      <c r="L776" s="29">
        <v>15</v>
      </c>
      <c r="M776" s="29"/>
      <c r="N776" s="29"/>
      <c r="O776" s="29"/>
      <c r="P776" s="73">
        <f t="shared" si="56"/>
        <v>3930901.52</v>
      </c>
      <c r="Q776" s="75" t="s">
        <v>52</v>
      </c>
    </row>
    <row r="777" spans="1:17" x14ac:dyDescent="0.25">
      <c r="A777" s="26" t="s">
        <v>81</v>
      </c>
      <c r="B777" s="60" t="s">
        <v>13</v>
      </c>
      <c r="C777" s="60" t="s">
        <v>29</v>
      </c>
      <c r="D777" s="60" t="s">
        <v>199</v>
      </c>
      <c r="E777" s="60">
        <v>3</v>
      </c>
      <c r="F777" s="60" t="s">
        <v>7</v>
      </c>
      <c r="G777" s="72" t="s">
        <v>11</v>
      </c>
      <c r="H777" s="73">
        <v>3930901.52</v>
      </c>
      <c r="I777" s="74">
        <v>1</v>
      </c>
      <c r="J777" s="29">
        <v>1500</v>
      </c>
      <c r="K777" s="29"/>
      <c r="L777" s="29">
        <v>15</v>
      </c>
      <c r="M777" s="29"/>
      <c r="N777" s="29"/>
      <c r="O777" s="29"/>
      <c r="P777" s="73">
        <f t="shared" si="56"/>
        <v>3930901.52</v>
      </c>
      <c r="Q777" s="75" t="s">
        <v>52</v>
      </c>
    </row>
    <row r="778" spans="1:17" x14ac:dyDescent="0.25">
      <c r="A778" s="26" t="s">
        <v>81</v>
      </c>
      <c r="B778" s="60" t="s">
        <v>13</v>
      </c>
      <c r="C778" s="60" t="s">
        <v>29</v>
      </c>
      <c r="D778" s="60" t="s">
        <v>200</v>
      </c>
      <c r="E778" s="60">
        <v>3</v>
      </c>
      <c r="F778" s="60" t="s">
        <v>7</v>
      </c>
      <c r="G778" s="72" t="s">
        <v>11</v>
      </c>
      <c r="H778" s="73">
        <v>3930901.52</v>
      </c>
      <c r="I778" s="74">
        <v>1</v>
      </c>
      <c r="J778" s="29">
        <v>2500</v>
      </c>
      <c r="K778" s="29"/>
      <c r="L778" s="29">
        <v>15</v>
      </c>
      <c r="M778" s="29"/>
      <c r="N778" s="29"/>
      <c r="O778" s="29"/>
      <c r="P778" s="73">
        <f t="shared" si="56"/>
        <v>3930901.52</v>
      </c>
      <c r="Q778" s="75" t="s">
        <v>52</v>
      </c>
    </row>
    <row r="779" spans="1:17" x14ac:dyDescent="0.25">
      <c r="A779" s="26" t="s">
        <v>81</v>
      </c>
      <c r="B779" s="60" t="s">
        <v>13</v>
      </c>
      <c r="C779" s="60" t="s">
        <v>30</v>
      </c>
      <c r="D779" s="60" t="s">
        <v>185</v>
      </c>
      <c r="E779" s="60">
        <v>1</v>
      </c>
      <c r="F779" s="60" t="s">
        <v>7</v>
      </c>
      <c r="G779" s="72" t="s">
        <v>11</v>
      </c>
      <c r="H779" s="73">
        <v>500000</v>
      </c>
      <c r="I779" s="74">
        <v>1</v>
      </c>
      <c r="J779" s="29">
        <v>500</v>
      </c>
      <c r="K779" s="29"/>
      <c r="L779" s="29">
        <v>25</v>
      </c>
      <c r="M779" s="29"/>
      <c r="N779" s="29"/>
      <c r="O779" s="29"/>
      <c r="P779" s="73">
        <f t="shared" si="52"/>
        <v>500000</v>
      </c>
      <c r="Q779" s="75" t="s">
        <v>52</v>
      </c>
    </row>
    <row r="780" spans="1:17" x14ac:dyDescent="0.25">
      <c r="A780" s="26" t="s">
        <v>81</v>
      </c>
      <c r="B780" s="60" t="s">
        <v>13</v>
      </c>
      <c r="C780" s="60" t="s">
        <v>30</v>
      </c>
      <c r="D780" s="60" t="s">
        <v>186</v>
      </c>
      <c r="E780" s="60">
        <v>1</v>
      </c>
      <c r="F780" s="60" t="s">
        <v>7</v>
      </c>
      <c r="G780" s="72" t="s">
        <v>11</v>
      </c>
      <c r="H780" s="73">
        <v>500000</v>
      </c>
      <c r="I780" s="74">
        <v>1</v>
      </c>
      <c r="J780" s="29">
        <v>1000</v>
      </c>
      <c r="K780" s="29"/>
      <c r="L780" s="29">
        <v>25</v>
      </c>
      <c r="M780" s="29"/>
      <c r="N780" s="29"/>
      <c r="O780" s="29"/>
      <c r="P780" s="73">
        <f t="shared" si="52"/>
        <v>500000</v>
      </c>
      <c r="Q780" s="75" t="s">
        <v>52</v>
      </c>
    </row>
    <row r="781" spans="1:17" x14ac:dyDescent="0.25">
      <c r="A781" s="26" t="s">
        <v>81</v>
      </c>
      <c r="B781" s="60" t="s">
        <v>13</v>
      </c>
      <c r="C781" s="60" t="s">
        <v>30</v>
      </c>
      <c r="D781" s="60" t="s">
        <v>187</v>
      </c>
      <c r="E781" s="60">
        <v>1</v>
      </c>
      <c r="F781" s="60" t="s">
        <v>7</v>
      </c>
      <c r="G781" s="72" t="s">
        <v>11</v>
      </c>
      <c r="H781" s="73">
        <v>500000</v>
      </c>
      <c r="I781" s="74">
        <v>1</v>
      </c>
      <c r="J781" s="29">
        <v>1500</v>
      </c>
      <c r="K781" s="29"/>
      <c r="L781" s="29">
        <v>25</v>
      </c>
      <c r="M781" s="29"/>
      <c r="N781" s="29"/>
      <c r="O781" s="29"/>
      <c r="P781" s="73">
        <f t="shared" si="52"/>
        <v>500000</v>
      </c>
      <c r="Q781" s="75" t="s">
        <v>52</v>
      </c>
    </row>
    <row r="782" spans="1:17" x14ac:dyDescent="0.25">
      <c r="A782" s="26" t="s">
        <v>81</v>
      </c>
      <c r="B782" s="60" t="s">
        <v>13</v>
      </c>
      <c r="C782" s="60" t="s">
        <v>30</v>
      </c>
      <c r="D782" s="60" t="s">
        <v>188</v>
      </c>
      <c r="E782" s="60">
        <v>1</v>
      </c>
      <c r="F782" s="60" t="s">
        <v>7</v>
      </c>
      <c r="G782" s="72" t="s">
        <v>11</v>
      </c>
      <c r="H782" s="73">
        <v>500000</v>
      </c>
      <c r="I782" s="74">
        <v>1</v>
      </c>
      <c r="J782" s="29">
        <v>2500</v>
      </c>
      <c r="K782" s="29"/>
      <c r="L782" s="29">
        <v>25</v>
      </c>
      <c r="M782" s="29"/>
      <c r="N782" s="29"/>
      <c r="O782" s="29"/>
      <c r="P782" s="73">
        <f t="shared" si="52"/>
        <v>500000</v>
      </c>
      <c r="Q782" s="75" t="s">
        <v>52</v>
      </c>
    </row>
    <row r="783" spans="1:17" x14ac:dyDescent="0.25">
      <c r="A783" s="26" t="s">
        <v>81</v>
      </c>
      <c r="B783" s="60" t="s">
        <v>13</v>
      </c>
      <c r="C783" s="60" t="s">
        <v>30</v>
      </c>
      <c r="D783" s="60" t="s">
        <v>189</v>
      </c>
      <c r="E783" s="60">
        <v>1</v>
      </c>
      <c r="F783" s="60" t="s">
        <v>7</v>
      </c>
      <c r="G783" s="72" t="s">
        <v>11</v>
      </c>
      <c r="H783" s="73">
        <v>500000</v>
      </c>
      <c r="I783" s="74">
        <v>1</v>
      </c>
      <c r="J783" s="29">
        <v>500</v>
      </c>
      <c r="K783" s="29"/>
      <c r="L783" s="29">
        <v>15</v>
      </c>
      <c r="M783" s="29"/>
      <c r="N783" s="29"/>
      <c r="O783" s="29"/>
      <c r="P783" s="73">
        <f t="shared" si="52"/>
        <v>500000</v>
      </c>
      <c r="Q783" s="75" t="s">
        <v>52</v>
      </c>
    </row>
    <row r="784" spans="1:17" x14ac:dyDescent="0.25">
      <c r="A784" s="26" t="s">
        <v>81</v>
      </c>
      <c r="B784" s="60" t="s">
        <v>13</v>
      </c>
      <c r="C784" s="60" t="s">
        <v>30</v>
      </c>
      <c r="D784" s="60" t="s">
        <v>190</v>
      </c>
      <c r="E784" s="60">
        <v>1</v>
      </c>
      <c r="F784" s="60" t="s">
        <v>7</v>
      </c>
      <c r="G784" s="72" t="s">
        <v>11</v>
      </c>
      <c r="H784" s="73">
        <v>500000</v>
      </c>
      <c r="I784" s="74">
        <v>1</v>
      </c>
      <c r="J784" s="29">
        <v>1000</v>
      </c>
      <c r="K784" s="29"/>
      <c r="L784" s="29">
        <v>15</v>
      </c>
      <c r="M784" s="29"/>
      <c r="N784" s="29"/>
      <c r="O784" s="29"/>
      <c r="P784" s="73">
        <f t="shared" si="52"/>
        <v>500000</v>
      </c>
      <c r="Q784" s="75" t="s">
        <v>52</v>
      </c>
    </row>
    <row r="785" spans="1:17" x14ac:dyDescent="0.25">
      <c r="A785" s="26" t="s">
        <v>81</v>
      </c>
      <c r="B785" s="60" t="s">
        <v>13</v>
      </c>
      <c r="C785" s="60" t="s">
        <v>30</v>
      </c>
      <c r="D785" s="60" t="s">
        <v>191</v>
      </c>
      <c r="E785" s="60">
        <v>1</v>
      </c>
      <c r="F785" s="60" t="s">
        <v>7</v>
      </c>
      <c r="G785" s="72" t="s">
        <v>11</v>
      </c>
      <c r="H785" s="73">
        <v>500000</v>
      </c>
      <c r="I785" s="74">
        <v>1</v>
      </c>
      <c r="J785" s="29">
        <v>1500</v>
      </c>
      <c r="K785" s="29"/>
      <c r="L785" s="29">
        <v>15</v>
      </c>
      <c r="M785" s="29"/>
      <c r="N785" s="29"/>
      <c r="O785" s="29"/>
      <c r="P785" s="73">
        <f t="shared" si="52"/>
        <v>500000</v>
      </c>
      <c r="Q785" s="75" t="s">
        <v>52</v>
      </c>
    </row>
    <row r="786" spans="1:17" x14ac:dyDescent="0.25">
      <c r="A786" s="26" t="s">
        <v>81</v>
      </c>
      <c r="B786" s="60" t="s">
        <v>13</v>
      </c>
      <c r="C786" s="60" t="s">
        <v>30</v>
      </c>
      <c r="D786" s="60" t="s">
        <v>192</v>
      </c>
      <c r="E786" s="60">
        <v>1</v>
      </c>
      <c r="F786" s="60" t="s">
        <v>7</v>
      </c>
      <c r="G786" s="72" t="s">
        <v>11</v>
      </c>
      <c r="H786" s="73">
        <v>500000</v>
      </c>
      <c r="I786" s="74">
        <v>1</v>
      </c>
      <c r="J786" s="29">
        <v>2500</v>
      </c>
      <c r="K786" s="29"/>
      <c r="L786" s="29">
        <v>15</v>
      </c>
      <c r="M786" s="29"/>
      <c r="N786" s="29"/>
      <c r="O786" s="29"/>
      <c r="P786" s="73">
        <f t="shared" si="52"/>
        <v>500000</v>
      </c>
      <c r="Q786" s="75" t="s">
        <v>52</v>
      </c>
    </row>
    <row r="787" spans="1:17" x14ac:dyDescent="0.25">
      <c r="A787" s="26" t="s">
        <v>81</v>
      </c>
      <c r="B787" s="60" t="s">
        <v>13</v>
      </c>
      <c r="C787" s="60" t="s">
        <v>30</v>
      </c>
      <c r="D787" s="60" t="s">
        <v>25</v>
      </c>
      <c r="E787" s="60">
        <v>2</v>
      </c>
      <c r="F787" s="60" t="s">
        <v>7</v>
      </c>
      <c r="G787" s="72" t="s">
        <v>11</v>
      </c>
      <c r="H787" s="73">
        <v>650000</v>
      </c>
      <c r="I787" s="74">
        <v>1</v>
      </c>
      <c r="J787" s="29">
        <v>500</v>
      </c>
      <c r="K787" s="29"/>
      <c r="L787" s="29">
        <v>25</v>
      </c>
      <c r="M787" s="29"/>
      <c r="N787" s="29"/>
      <c r="O787" s="29"/>
      <c r="P787" s="73">
        <f t="shared" si="52"/>
        <v>650000</v>
      </c>
      <c r="Q787" s="75" t="s">
        <v>52</v>
      </c>
    </row>
    <row r="788" spans="1:17" x14ac:dyDescent="0.25">
      <c r="A788" s="26" t="s">
        <v>81</v>
      </c>
      <c r="B788" s="60" t="s">
        <v>13</v>
      </c>
      <c r="C788" s="60" t="s">
        <v>30</v>
      </c>
      <c r="D788" s="60" t="s">
        <v>26</v>
      </c>
      <c r="E788" s="60">
        <v>2</v>
      </c>
      <c r="F788" s="60" t="s">
        <v>7</v>
      </c>
      <c r="G788" s="72" t="s">
        <v>11</v>
      </c>
      <c r="H788" s="73">
        <v>650000</v>
      </c>
      <c r="I788" s="74">
        <v>1</v>
      </c>
      <c r="J788" s="29">
        <v>1000</v>
      </c>
      <c r="K788" s="29"/>
      <c r="L788" s="29">
        <v>25</v>
      </c>
      <c r="M788" s="29"/>
      <c r="N788" s="29"/>
      <c r="O788" s="29"/>
      <c r="P788" s="73">
        <f t="shared" si="52"/>
        <v>650000</v>
      </c>
      <c r="Q788" s="75" t="s">
        <v>52</v>
      </c>
    </row>
    <row r="789" spans="1:17" x14ac:dyDescent="0.25">
      <c r="A789" s="26" t="s">
        <v>81</v>
      </c>
      <c r="B789" s="60" t="s">
        <v>13</v>
      </c>
      <c r="C789" s="60" t="s">
        <v>30</v>
      </c>
      <c r="D789" s="60" t="s">
        <v>27</v>
      </c>
      <c r="E789" s="60">
        <v>2</v>
      </c>
      <c r="F789" s="60" t="s">
        <v>7</v>
      </c>
      <c r="G789" s="72" t="s">
        <v>11</v>
      </c>
      <c r="H789" s="73">
        <v>650000</v>
      </c>
      <c r="I789" s="74">
        <v>1</v>
      </c>
      <c r="J789" s="29">
        <v>1500</v>
      </c>
      <c r="K789" s="29"/>
      <c r="L789" s="29">
        <v>25</v>
      </c>
      <c r="M789" s="29"/>
      <c r="N789" s="29"/>
      <c r="O789" s="29"/>
      <c r="P789" s="73">
        <f t="shared" si="52"/>
        <v>650000</v>
      </c>
      <c r="Q789" s="75" t="s">
        <v>52</v>
      </c>
    </row>
    <row r="790" spans="1:17" x14ac:dyDescent="0.25">
      <c r="A790" s="26" t="s">
        <v>81</v>
      </c>
      <c r="B790" s="60" t="s">
        <v>13</v>
      </c>
      <c r="C790" s="60" t="s">
        <v>30</v>
      </c>
      <c r="D790" s="60" t="s">
        <v>28</v>
      </c>
      <c r="E790" s="60">
        <v>2</v>
      </c>
      <c r="F790" s="60" t="s">
        <v>7</v>
      </c>
      <c r="G790" s="72" t="s">
        <v>11</v>
      </c>
      <c r="H790" s="73">
        <v>650000</v>
      </c>
      <c r="I790" s="74">
        <v>1</v>
      </c>
      <c r="J790" s="29">
        <v>2500</v>
      </c>
      <c r="K790" s="29"/>
      <c r="L790" s="29">
        <v>25</v>
      </c>
      <c r="M790" s="29"/>
      <c r="N790" s="29"/>
      <c r="O790" s="29"/>
      <c r="P790" s="73">
        <f t="shared" si="52"/>
        <v>650000</v>
      </c>
      <c r="Q790" s="75" t="s">
        <v>52</v>
      </c>
    </row>
    <row r="791" spans="1:17" x14ac:dyDescent="0.25">
      <c r="A791" s="26" t="s">
        <v>81</v>
      </c>
      <c r="B791" s="60" t="s">
        <v>13</v>
      </c>
      <c r="C791" s="60" t="s">
        <v>30</v>
      </c>
      <c r="D791" s="60" t="s">
        <v>197</v>
      </c>
      <c r="E791" s="60">
        <v>2</v>
      </c>
      <c r="F791" s="60" t="s">
        <v>7</v>
      </c>
      <c r="G791" s="72" t="s">
        <v>11</v>
      </c>
      <c r="H791" s="73">
        <v>650000</v>
      </c>
      <c r="I791" s="74">
        <v>1</v>
      </c>
      <c r="J791" s="29">
        <v>500</v>
      </c>
      <c r="K791" s="29"/>
      <c r="L791" s="29">
        <v>15</v>
      </c>
      <c r="M791" s="29"/>
      <c r="N791" s="29"/>
      <c r="O791" s="29"/>
      <c r="P791" s="73">
        <f t="shared" ref="P791:P842" si="57">+I791*H791</f>
        <v>650000</v>
      </c>
      <c r="Q791" s="75" t="s">
        <v>52</v>
      </c>
    </row>
    <row r="792" spans="1:17" x14ac:dyDescent="0.25">
      <c r="A792" s="26" t="s">
        <v>81</v>
      </c>
      <c r="B792" s="60" t="s">
        <v>13</v>
      </c>
      <c r="C792" s="60" t="s">
        <v>30</v>
      </c>
      <c r="D792" s="60" t="s">
        <v>198</v>
      </c>
      <c r="E792" s="60">
        <v>2</v>
      </c>
      <c r="F792" s="60" t="s">
        <v>7</v>
      </c>
      <c r="G792" s="72" t="s">
        <v>11</v>
      </c>
      <c r="H792" s="73">
        <v>650000</v>
      </c>
      <c r="I792" s="74">
        <v>1</v>
      </c>
      <c r="J792" s="29">
        <v>1000</v>
      </c>
      <c r="K792" s="29"/>
      <c r="L792" s="29">
        <v>15</v>
      </c>
      <c r="M792" s="29"/>
      <c r="N792" s="29"/>
      <c r="O792" s="29"/>
      <c r="P792" s="73">
        <f t="shared" si="57"/>
        <v>650000</v>
      </c>
      <c r="Q792" s="75" t="s">
        <v>52</v>
      </c>
    </row>
    <row r="793" spans="1:17" x14ac:dyDescent="0.25">
      <c r="A793" s="26" t="s">
        <v>81</v>
      </c>
      <c r="B793" s="60" t="s">
        <v>13</v>
      </c>
      <c r="C793" s="60" t="s">
        <v>30</v>
      </c>
      <c r="D793" s="60" t="s">
        <v>199</v>
      </c>
      <c r="E793" s="60">
        <v>2</v>
      </c>
      <c r="F793" s="60" t="s">
        <v>7</v>
      </c>
      <c r="G793" s="72" t="s">
        <v>11</v>
      </c>
      <c r="H793" s="73">
        <v>650000</v>
      </c>
      <c r="I793" s="74">
        <v>1</v>
      </c>
      <c r="J793" s="29">
        <v>1500</v>
      </c>
      <c r="K793" s="29"/>
      <c r="L793" s="29">
        <v>15</v>
      </c>
      <c r="M793" s="29"/>
      <c r="N793" s="29"/>
      <c r="O793" s="29"/>
      <c r="P793" s="73">
        <f t="shared" si="57"/>
        <v>650000</v>
      </c>
      <c r="Q793" s="75" t="s">
        <v>52</v>
      </c>
    </row>
    <row r="794" spans="1:17" x14ac:dyDescent="0.25">
      <c r="A794" s="26" t="s">
        <v>81</v>
      </c>
      <c r="B794" s="60" t="s">
        <v>13</v>
      </c>
      <c r="C794" s="60" t="s">
        <v>30</v>
      </c>
      <c r="D794" s="60" t="s">
        <v>200</v>
      </c>
      <c r="E794" s="60">
        <v>2</v>
      </c>
      <c r="F794" s="60" t="s">
        <v>7</v>
      </c>
      <c r="G794" s="72" t="s">
        <v>11</v>
      </c>
      <c r="H794" s="73">
        <v>650000</v>
      </c>
      <c r="I794" s="74">
        <v>1</v>
      </c>
      <c r="J794" s="29">
        <v>2500</v>
      </c>
      <c r="K794" s="29"/>
      <c r="L794" s="29">
        <v>15</v>
      </c>
      <c r="M794" s="29"/>
      <c r="N794" s="29"/>
      <c r="O794" s="29"/>
      <c r="P794" s="73">
        <f t="shared" si="57"/>
        <v>650000</v>
      </c>
      <c r="Q794" s="75" t="s">
        <v>52</v>
      </c>
    </row>
    <row r="795" spans="1:17" x14ac:dyDescent="0.25">
      <c r="A795" s="26" t="s">
        <v>81</v>
      </c>
      <c r="B795" s="60" t="s">
        <v>13</v>
      </c>
      <c r="C795" s="60" t="s">
        <v>30</v>
      </c>
      <c r="D795" s="60" t="s">
        <v>25</v>
      </c>
      <c r="E795" s="60">
        <v>3</v>
      </c>
      <c r="F795" s="60" t="s">
        <v>7</v>
      </c>
      <c r="G795" s="72" t="s">
        <v>11</v>
      </c>
      <c r="H795" s="73">
        <v>650000</v>
      </c>
      <c r="I795" s="74">
        <v>1</v>
      </c>
      <c r="J795" s="29">
        <v>500</v>
      </c>
      <c r="K795" s="29"/>
      <c r="L795" s="29">
        <v>25</v>
      </c>
      <c r="M795" s="29"/>
      <c r="N795" s="29"/>
      <c r="O795" s="29"/>
      <c r="P795" s="73">
        <f t="shared" si="57"/>
        <v>650000</v>
      </c>
      <c r="Q795" s="75" t="s">
        <v>52</v>
      </c>
    </row>
    <row r="796" spans="1:17" x14ac:dyDescent="0.25">
      <c r="A796" s="26" t="s">
        <v>81</v>
      </c>
      <c r="B796" s="60" t="s">
        <v>13</v>
      </c>
      <c r="C796" s="60" t="s">
        <v>30</v>
      </c>
      <c r="D796" s="60" t="s">
        <v>26</v>
      </c>
      <c r="E796" s="60">
        <v>3</v>
      </c>
      <c r="F796" s="60" t="s">
        <v>7</v>
      </c>
      <c r="G796" s="72" t="s">
        <v>11</v>
      </c>
      <c r="H796" s="73">
        <v>650000</v>
      </c>
      <c r="I796" s="74">
        <v>1</v>
      </c>
      <c r="J796" s="29">
        <v>1000</v>
      </c>
      <c r="K796" s="29"/>
      <c r="L796" s="29">
        <v>25</v>
      </c>
      <c r="M796" s="29"/>
      <c r="N796" s="29"/>
      <c r="O796" s="29"/>
      <c r="P796" s="73">
        <f t="shared" si="57"/>
        <v>650000</v>
      </c>
      <c r="Q796" s="75" t="s">
        <v>52</v>
      </c>
    </row>
    <row r="797" spans="1:17" x14ac:dyDescent="0.25">
      <c r="A797" s="26" t="s">
        <v>81</v>
      </c>
      <c r="B797" s="60" t="s">
        <v>13</v>
      </c>
      <c r="C797" s="60" t="s">
        <v>30</v>
      </c>
      <c r="D797" s="60" t="s">
        <v>27</v>
      </c>
      <c r="E797" s="60">
        <v>3</v>
      </c>
      <c r="F797" s="60" t="s">
        <v>7</v>
      </c>
      <c r="G797" s="72" t="s">
        <v>11</v>
      </c>
      <c r="H797" s="73">
        <v>650000</v>
      </c>
      <c r="I797" s="74">
        <v>1</v>
      </c>
      <c r="J797" s="29">
        <v>1500</v>
      </c>
      <c r="K797" s="29"/>
      <c r="L797" s="29">
        <v>25</v>
      </c>
      <c r="M797" s="29"/>
      <c r="N797" s="29"/>
      <c r="O797" s="29"/>
      <c r="P797" s="73">
        <f t="shared" si="57"/>
        <v>650000</v>
      </c>
      <c r="Q797" s="75" t="s">
        <v>52</v>
      </c>
    </row>
    <row r="798" spans="1:17" x14ac:dyDescent="0.25">
      <c r="A798" s="26" t="s">
        <v>81</v>
      </c>
      <c r="B798" s="60" t="s">
        <v>13</v>
      </c>
      <c r="C798" s="60" t="s">
        <v>30</v>
      </c>
      <c r="D798" s="60" t="s">
        <v>28</v>
      </c>
      <c r="E798" s="60">
        <v>3</v>
      </c>
      <c r="F798" s="60" t="s">
        <v>7</v>
      </c>
      <c r="G798" s="72" t="s">
        <v>11</v>
      </c>
      <c r="H798" s="73">
        <v>650000</v>
      </c>
      <c r="I798" s="74">
        <v>1</v>
      </c>
      <c r="J798" s="29">
        <v>2500</v>
      </c>
      <c r="K798" s="29"/>
      <c r="L798" s="29">
        <v>25</v>
      </c>
      <c r="M798" s="29"/>
      <c r="N798" s="29"/>
      <c r="O798" s="29"/>
      <c r="P798" s="73">
        <f t="shared" si="57"/>
        <v>650000</v>
      </c>
      <c r="Q798" s="75" t="s">
        <v>52</v>
      </c>
    </row>
    <row r="799" spans="1:17" x14ac:dyDescent="0.25">
      <c r="A799" s="26" t="s">
        <v>81</v>
      </c>
      <c r="B799" s="60" t="s">
        <v>13</v>
      </c>
      <c r="C799" s="60" t="s">
        <v>30</v>
      </c>
      <c r="D799" s="60" t="s">
        <v>197</v>
      </c>
      <c r="E799" s="60">
        <v>3</v>
      </c>
      <c r="F799" s="60" t="s">
        <v>7</v>
      </c>
      <c r="G799" s="72" t="s">
        <v>11</v>
      </c>
      <c r="H799" s="73">
        <v>650000</v>
      </c>
      <c r="I799" s="74">
        <v>1</v>
      </c>
      <c r="J799" s="29">
        <v>500</v>
      </c>
      <c r="K799" s="29"/>
      <c r="L799" s="29">
        <v>15</v>
      </c>
      <c r="M799" s="29"/>
      <c r="N799" s="29"/>
      <c r="O799" s="29"/>
      <c r="P799" s="73">
        <f t="shared" ref="P799:P802" si="58">+I799*H799</f>
        <v>650000</v>
      </c>
      <c r="Q799" s="75" t="s">
        <v>52</v>
      </c>
    </row>
    <row r="800" spans="1:17" x14ac:dyDescent="0.25">
      <c r="A800" s="26" t="s">
        <v>81</v>
      </c>
      <c r="B800" s="60" t="s">
        <v>13</v>
      </c>
      <c r="C800" s="60" t="s">
        <v>30</v>
      </c>
      <c r="D800" s="60" t="s">
        <v>198</v>
      </c>
      <c r="E800" s="60">
        <v>3</v>
      </c>
      <c r="F800" s="60" t="s">
        <v>7</v>
      </c>
      <c r="G800" s="72" t="s">
        <v>11</v>
      </c>
      <c r="H800" s="73">
        <v>650000</v>
      </c>
      <c r="I800" s="74">
        <v>1</v>
      </c>
      <c r="J800" s="29">
        <v>1000</v>
      </c>
      <c r="K800" s="29"/>
      <c r="L800" s="29">
        <v>15</v>
      </c>
      <c r="M800" s="29"/>
      <c r="N800" s="29"/>
      <c r="O800" s="29"/>
      <c r="P800" s="73">
        <f t="shared" si="58"/>
        <v>650000</v>
      </c>
      <c r="Q800" s="75" t="s">
        <v>52</v>
      </c>
    </row>
    <row r="801" spans="1:17" x14ac:dyDescent="0.25">
      <c r="A801" s="26" t="s">
        <v>81</v>
      </c>
      <c r="B801" s="60" t="s">
        <v>13</v>
      </c>
      <c r="C801" s="60" t="s">
        <v>30</v>
      </c>
      <c r="D801" s="60" t="s">
        <v>199</v>
      </c>
      <c r="E801" s="60">
        <v>3</v>
      </c>
      <c r="F801" s="60" t="s">
        <v>7</v>
      </c>
      <c r="G801" s="72" t="s">
        <v>11</v>
      </c>
      <c r="H801" s="73">
        <v>650000</v>
      </c>
      <c r="I801" s="74">
        <v>1</v>
      </c>
      <c r="J801" s="29">
        <v>1500</v>
      </c>
      <c r="K801" s="29"/>
      <c r="L801" s="29">
        <v>15</v>
      </c>
      <c r="M801" s="29"/>
      <c r="N801" s="29"/>
      <c r="O801" s="29"/>
      <c r="P801" s="73">
        <f t="shared" si="58"/>
        <v>650000</v>
      </c>
      <c r="Q801" s="75" t="s">
        <v>52</v>
      </c>
    </row>
    <row r="802" spans="1:17" x14ac:dyDescent="0.25">
      <c r="A802" s="26" t="s">
        <v>81</v>
      </c>
      <c r="B802" s="60" t="s">
        <v>13</v>
      </c>
      <c r="C802" s="60" t="s">
        <v>30</v>
      </c>
      <c r="D802" s="60" t="s">
        <v>200</v>
      </c>
      <c r="E802" s="60">
        <v>3</v>
      </c>
      <c r="F802" s="60" t="s">
        <v>7</v>
      </c>
      <c r="G802" s="72" t="s">
        <v>11</v>
      </c>
      <c r="H802" s="73">
        <v>650000</v>
      </c>
      <c r="I802" s="74">
        <v>1</v>
      </c>
      <c r="J802" s="29">
        <v>2500</v>
      </c>
      <c r="K802" s="29"/>
      <c r="L802" s="29">
        <v>15</v>
      </c>
      <c r="M802" s="29"/>
      <c r="N802" s="29"/>
      <c r="O802" s="29"/>
      <c r="P802" s="73">
        <f t="shared" si="58"/>
        <v>650000</v>
      </c>
      <c r="Q802" s="75" t="s">
        <v>52</v>
      </c>
    </row>
    <row r="803" spans="1:17" x14ac:dyDescent="0.25">
      <c r="A803" s="26" t="s">
        <v>81</v>
      </c>
      <c r="B803" s="60" t="s">
        <v>13</v>
      </c>
      <c r="C803" s="60" t="s">
        <v>31</v>
      </c>
      <c r="D803" s="60" t="s">
        <v>185</v>
      </c>
      <c r="E803" s="60">
        <v>1</v>
      </c>
      <c r="F803" s="60" t="s">
        <v>7</v>
      </c>
      <c r="G803" s="72" t="s">
        <v>11</v>
      </c>
      <c r="H803" s="73">
        <v>3386694.78</v>
      </c>
      <c r="I803" s="74">
        <v>1</v>
      </c>
      <c r="J803" s="29">
        <v>500</v>
      </c>
      <c r="K803" s="29"/>
      <c r="L803" s="29">
        <v>25</v>
      </c>
      <c r="M803" s="29"/>
      <c r="N803" s="29"/>
      <c r="O803" s="29"/>
      <c r="P803" s="73">
        <f t="shared" si="57"/>
        <v>3386694.78</v>
      </c>
      <c r="Q803" s="75" t="s">
        <v>52</v>
      </c>
    </row>
    <row r="804" spans="1:17" x14ac:dyDescent="0.25">
      <c r="A804" s="26" t="s">
        <v>81</v>
      </c>
      <c r="B804" s="60" t="s">
        <v>13</v>
      </c>
      <c r="C804" s="60" t="s">
        <v>31</v>
      </c>
      <c r="D804" s="60" t="s">
        <v>186</v>
      </c>
      <c r="E804" s="60">
        <v>1</v>
      </c>
      <c r="F804" s="60" t="s">
        <v>7</v>
      </c>
      <c r="G804" s="72" t="s">
        <v>11</v>
      </c>
      <c r="H804" s="73">
        <v>3386694.78</v>
      </c>
      <c r="I804" s="74">
        <v>1</v>
      </c>
      <c r="J804" s="29">
        <v>1000</v>
      </c>
      <c r="K804" s="29"/>
      <c r="L804" s="29">
        <v>25</v>
      </c>
      <c r="M804" s="29"/>
      <c r="N804" s="29"/>
      <c r="O804" s="29"/>
      <c r="P804" s="73">
        <f t="shared" si="57"/>
        <v>3386694.78</v>
      </c>
      <c r="Q804" s="75" t="s">
        <v>52</v>
      </c>
    </row>
    <row r="805" spans="1:17" x14ac:dyDescent="0.25">
      <c r="A805" s="26" t="s">
        <v>81</v>
      </c>
      <c r="B805" s="60" t="s">
        <v>13</v>
      </c>
      <c r="C805" s="60" t="s">
        <v>31</v>
      </c>
      <c r="D805" s="60" t="s">
        <v>187</v>
      </c>
      <c r="E805" s="60">
        <v>1</v>
      </c>
      <c r="F805" s="60" t="s">
        <v>7</v>
      </c>
      <c r="G805" s="72" t="s">
        <v>11</v>
      </c>
      <c r="H805" s="73">
        <v>3386694.78</v>
      </c>
      <c r="I805" s="74">
        <v>1</v>
      </c>
      <c r="J805" s="29">
        <v>1500</v>
      </c>
      <c r="K805" s="29"/>
      <c r="L805" s="29">
        <v>25</v>
      </c>
      <c r="M805" s="29"/>
      <c r="N805" s="29"/>
      <c r="O805" s="29"/>
      <c r="P805" s="73">
        <f t="shared" si="57"/>
        <v>3386694.78</v>
      </c>
      <c r="Q805" s="75" t="s">
        <v>52</v>
      </c>
    </row>
    <row r="806" spans="1:17" x14ac:dyDescent="0.25">
      <c r="A806" s="26" t="s">
        <v>81</v>
      </c>
      <c r="B806" s="60" t="s">
        <v>13</v>
      </c>
      <c r="C806" s="60" t="s">
        <v>31</v>
      </c>
      <c r="D806" s="60" t="s">
        <v>188</v>
      </c>
      <c r="E806" s="60">
        <v>1</v>
      </c>
      <c r="F806" s="60" t="s">
        <v>7</v>
      </c>
      <c r="G806" s="72" t="s">
        <v>11</v>
      </c>
      <c r="H806" s="73">
        <v>3386694.78</v>
      </c>
      <c r="I806" s="74">
        <v>1</v>
      </c>
      <c r="J806" s="29">
        <v>2500</v>
      </c>
      <c r="K806" s="29"/>
      <c r="L806" s="29">
        <v>25</v>
      </c>
      <c r="M806" s="29"/>
      <c r="N806" s="29"/>
      <c r="O806" s="29"/>
      <c r="P806" s="73">
        <f t="shared" si="57"/>
        <v>3386694.78</v>
      </c>
      <c r="Q806" s="75" t="s">
        <v>52</v>
      </c>
    </row>
    <row r="807" spans="1:17" x14ac:dyDescent="0.25">
      <c r="A807" s="26" t="s">
        <v>81</v>
      </c>
      <c r="B807" s="60" t="s">
        <v>13</v>
      </c>
      <c r="C807" s="60" t="s">
        <v>31</v>
      </c>
      <c r="D807" s="60" t="s">
        <v>189</v>
      </c>
      <c r="E807" s="60">
        <v>1</v>
      </c>
      <c r="F807" s="60" t="s">
        <v>7</v>
      </c>
      <c r="G807" s="72" t="s">
        <v>11</v>
      </c>
      <c r="H807" s="73">
        <v>3386694.78</v>
      </c>
      <c r="I807" s="74">
        <v>1</v>
      </c>
      <c r="J807" s="29">
        <v>500</v>
      </c>
      <c r="K807" s="29"/>
      <c r="L807" s="29">
        <v>15</v>
      </c>
      <c r="M807" s="29"/>
      <c r="N807" s="29"/>
      <c r="O807" s="29"/>
      <c r="P807" s="73">
        <f t="shared" si="57"/>
        <v>3386694.78</v>
      </c>
      <c r="Q807" s="75" t="s">
        <v>52</v>
      </c>
    </row>
    <row r="808" spans="1:17" x14ac:dyDescent="0.25">
      <c r="A808" s="26" t="s">
        <v>81</v>
      </c>
      <c r="B808" s="60" t="s">
        <v>13</v>
      </c>
      <c r="C808" s="60" t="s">
        <v>31</v>
      </c>
      <c r="D808" s="60" t="s">
        <v>190</v>
      </c>
      <c r="E808" s="60">
        <v>1</v>
      </c>
      <c r="F808" s="60" t="s">
        <v>7</v>
      </c>
      <c r="G808" s="72" t="s">
        <v>11</v>
      </c>
      <c r="H808" s="73">
        <v>3386694.78</v>
      </c>
      <c r="I808" s="74">
        <v>1</v>
      </c>
      <c r="J808" s="29">
        <v>1000</v>
      </c>
      <c r="K808" s="29"/>
      <c r="L808" s="29">
        <v>15</v>
      </c>
      <c r="M808" s="29"/>
      <c r="N808" s="29"/>
      <c r="O808" s="29"/>
      <c r="P808" s="73">
        <f t="shared" si="57"/>
        <v>3386694.78</v>
      </c>
      <c r="Q808" s="75" t="s">
        <v>52</v>
      </c>
    </row>
    <row r="809" spans="1:17" x14ac:dyDescent="0.25">
      <c r="A809" s="26" t="s">
        <v>81</v>
      </c>
      <c r="B809" s="60" t="s">
        <v>13</v>
      </c>
      <c r="C809" s="60" t="s">
        <v>31</v>
      </c>
      <c r="D809" s="60" t="s">
        <v>191</v>
      </c>
      <c r="E809" s="60">
        <v>1</v>
      </c>
      <c r="F809" s="60" t="s">
        <v>7</v>
      </c>
      <c r="G809" s="72" t="s">
        <v>11</v>
      </c>
      <c r="H809" s="73">
        <v>3386694.78</v>
      </c>
      <c r="I809" s="74">
        <v>1</v>
      </c>
      <c r="J809" s="29">
        <v>1500</v>
      </c>
      <c r="K809" s="29"/>
      <c r="L809" s="29">
        <v>15</v>
      </c>
      <c r="M809" s="29"/>
      <c r="N809" s="29"/>
      <c r="O809" s="29"/>
      <c r="P809" s="73">
        <f t="shared" si="57"/>
        <v>3386694.78</v>
      </c>
      <c r="Q809" s="75" t="s">
        <v>52</v>
      </c>
    </row>
    <row r="810" spans="1:17" x14ac:dyDescent="0.25">
      <c r="A810" s="26" t="s">
        <v>81</v>
      </c>
      <c r="B810" s="60" t="s">
        <v>13</v>
      </c>
      <c r="C810" s="60" t="s">
        <v>31</v>
      </c>
      <c r="D810" s="60" t="s">
        <v>192</v>
      </c>
      <c r="E810" s="60">
        <v>1</v>
      </c>
      <c r="F810" s="60" t="s">
        <v>7</v>
      </c>
      <c r="G810" s="72" t="s">
        <v>11</v>
      </c>
      <c r="H810" s="73">
        <v>3386694.78</v>
      </c>
      <c r="I810" s="74">
        <v>1</v>
      </c>
      <c r="J810" s="29">
        <v>2500</v>
      </c>
      <c r="K810" s="29"/>
      <c r="L810" s="29">
        <v>15</v>
      </c>
      <c r="M810" s="29"/>
      <c r="N810" s="29"/>
      <c r="O810" s="29"/>
      <c r="P810" s="73">
        <f t="shared" si="57"/>
        <v>3386694.78</v>
      </c>
      <c r="Q810" s="75" t="s">
        <v>52</v>
      </c>
    </row>
    <row r="811" spans="1:17" x14ac:dyDescent="0.25">
      <c r="A811" s="26" t="s">
        <v>81</v>
      </c>
      <c r="B811" s="60" t="s">
        <v>13</v>
      </c>
      <c r="C811" s="60" t="s">
        <v>31</v>
      </c>
      <c r="D811" s="60" t="s">
        <v>25</v>
      </c>
      <c r="E811" s="60">
        <v>2</v>
      </c>
      <c r="F811" s="60" t="s">
        <v>7</v>
      </c>
      <c r="G811" s="72" t="s">
        <v>11</v>
      </c>
      <c r="H811" s="73">
        <v>3386694.78</v>
      </c>
      <c r="I811" s="74">
        <v>1</v>
      </c>
      <c r="J811" s="29">
        <v>500</v>
      </c>
      <c r="K811" s="29"/>
      <c r="L811" s="29">
        <v>25</v>
      </c>
      <c r="M811" s="29"/>
      <c r="N811" s="29"/>
      <c r="O811" s="29"/>
      <c r="P811" s="73">
        <f t="shared" si="57"/>
        <v>3386694.78</v>
      </c>
      <c r="Q811" s="75" t="s">
        <v>52</v>
      </c>
    </row>
    <row r="812" spans="1:17" x14ac:dyDescent="0.25">
      <c r="A812" s="26" t="s">
        <v>81</v>
      </c>
      <c r="B812" s="60" t="s">
        <v>13</v>
      </c>
      <c r="C812" s="60" t="s">
        <v>31</v>
      </c>
      <c r="D812" s="60" t="s">
        <v>26</v>
      </c>
      <c r="E812" s="60">
        <v>2</v>
      </c>
      <c r="F812" s="60" t="s">
        <v>7</v>
      </c>
      <c r="G812" s="72" t="s">
        <v>11</v>
      </c>
      <c r="H812" s="73">
        <v>3386694.78</v>
      </c>
      <c r="I812" s="74">
        <v>1</v>
      </c>
      <c r="J812" s="29">
        <v>1000</v>
      </c>
      <c r="K812" s="29"/>
      <c r="L812" s="29">
        <v>25</v>
      </c>
      <c r="M812" s="29"/>
      <c r="N812" s="29"/>
      <c r="O812" s="29"/>
      <c r="P812" s="73">
        <f t="shared" si="57"/>
        <v>3386694.78</v>
      </c>
      <c r="Q812" s="75" t="s">
        <v>52</v>
      </c>
    </row>
    <row r="813" spans="1:17" x14ac:dyDescent="0.25">
      <c r="A813" s="26" t="s">
        <v>81</v>
      </c>
      <c r="B813" s="60" t="s">
        <v>13</v>
      </c>
      <c r="C813" s="60" t="s">
        <v>31</v>
      </c>
      <c r="D813" s="60" t="s">
        <v>27</v>
      </c>
      <c r="E813" s="60">
        <v>2</v>
      </c>
      <c r="F813" s="60" t="s">
        <v>7</v>
      </c>
      <c r="G813" s="72" t="s">
        <v>11</v>
      </c>
      <c r="H813" s="73">
        <v>3386694.78</v>
      </c>
      <c r="I813" s="74">
        <v>1</v>
      </c>
      <c r="J813" s="29">
        <v>1500</v>
      </c>
      <c r="K813" s="29"/>
      <c r="L813" s="29">
        <v>25</v>
      </c>
      <c r="M813" s="29"/>
      <c r="N813" s="29"/>
      <c r="O813" s="29"/>
      <c r="P813" s="73">
        <f t="shared" si="57"/>
        <v>3386694.78</v>
      </c>
      <c r="Q813" s="75" t="s">
        <v>52</v>
      </c>
    </row>
    <row r="814" spans="1:17" x14ac:dyDescent="0.25">
      <c r="A814" s="26" t="s">
        <v>81</v>
      </c>
      <c r="B814" s="60" t="s">
        <v>13</v>
      </c>
      <c r="C814" s="60" t="s">
        <v>31</v>
      </c>
      <c r="D814" s="60" t="s">
        <v>28</v>
      </c>
      <c r="E814" s="60">
        <v>2</v>
      </c>
      <c r="F814" s="60" t="s">
        <v>7</v>
      </c>
      <c r="G814" s="72" t="s">
        <v>11</v>
      </c>
      <c r="H814" s="73">
        <v>3386694.78</v>
      </c>
      <c r="I814" s="74">
        <v>1</v>
      </c>
      <c r="J814" s="29">
        <v>2500</v>
      </c>
      <c r="K814" s="29"/>
      <c r="L814" s="29">
        <v>25</v>
      </c>
      <c r="M814" s="29"/>
      <c r="N814" s="29"/>
      <c r="O814" s="29"/>
      <c r="P814" s="73">
        <f t="shared" si="57"/>
        <v>3386694.78</v>
      </c>
      <c r="Q814" s="75" t="s">
        <v>52</v>
      </c>
    </row>
    <row r="815" spans="1:17" x14ac:dyDescent="0.25">
      <c r="A815" s="26" t="s">
        <v>81</v>
      </c>
      <c r="B815" s="60" t="s">
        <v>13</v>
      </c>
      <c r="C815" s="60" t="s">
        <v>31</v>
      </c>
      <c r="D815" s="60" t="s">
        <v>197</v>
      </c>
      <c r="E815" s="60">
        <v>2</v>
      </c>
      <c r="F815" s="60" t="s">
        <v>7</v>
      </c>
      <c r="G815" s="72" t="s">
        <v>11</v>
      </c>
      <c r="H815" s="73">
        <v>3386694.78</v>
      </c>
      <c r="I815" s="74">
        <v>1</v>
      </c>
      <c r="J815" s="29">
        <v>500</v>
      </c>
      <c r="K815" s="29"/>
      <c r="L815" s="29">
        <v>15</v>
      </c>
      <c r="M815" s="29"/>
      <c r="N815" s="29"/>
      <c r="O815" s="29"/>
      <c r="P815" s="73">
        <f t="shared" si="57"/>
        <v>3386694.78</v>
      </c>
      <c r="Q815" s="75" t="s">
        <v>52</v>
      </c>
    </row>
    <row r="816" spans="1:17" x14ac:dyDescent="0.25">
      <c r="A816" s="26" t="s">
        <v>81</v>
      </c>
      <c r="B816" s="60" t="s">
        <v>13</v>
      </c>
      <c r="C816" s="60" t="s">
        <v>31</v>
      </c>
      <c r="D816" s="60" t="s">
        <v>198</v>
      </c>
      <c r="E816" s="60">
        <v>2</v>
      </c>
      <c r="F816" s="60" t="s">
        <v>7</v>
      </c>
      <c r="G816" s="72" t="s">
        <v>11</v>
      </c>
      <c r="H816" s="73">
        <v>3386694.78</v>
      </c>
      <c r="I816" s="74">
        <v>1</v>
      </c>
      <c r="J816" s="29">
        <v>1000</v>
      </c>
      <c r="K816" s="29"/>
      <c r="L816" s="29">
        <v>15</v>
      </c>
      <c r="M816" s="29"/>
      <c r="N816" s="29"/>
      <c r="O816" s="29"/>
      <c r="P816" s="73">
        <f t="shared" si="57"/>
        <v>3386694.78</v>
      </c>
      <c r="Q816" s="75" t="s">
        <v>52</v>
      </c>
    </row>
    <row r="817" spans="1:17" x14ac:dyDescent="0.25">
      <c r="A817" s="26" t="s">
        <v>81</v>
      </c>
      <c r="B817" s="60" t="s">
        <v>13</v>
      </c>
      <c r="C817" s="60" t="s">
        <v>31</v>
      </c>
      <c r="D817" s="60" t="s">
        <v>199</v>
      </c>
      <c r="E817" s="60">
        <v>2</v>
      </c>
      <c r="F817" s="60" t="s">
        <v>7</v>
      </c>
      <c r="G817" s="72" t="s">
        <v>11</v>
      </c>
      <c r="H817" s="73">
        <v>3386694.78</v>
      </c>
      <c r="I817" s="74">
        <v>1</v>
      </c>
      <c r="J817" s="29">
        <v>1500</v>
      </c>
      <c r="K817" s="29"/>
      <c r="L817" s="29">
        <v>15</v>
      </c>
      <c r="M817" s="29"/>
      <c r="N817" s="29"/>
      <c r="O817" s="29"/>
      <c r="P817" s="73">
        <f t="shared" si="57"/>
        <v>3386694.78</v>
      </c>
      <c r="Q817" s="75" t="s">
        <v>52</v>
      </c>
    </row>
    <row r="818" spans="1:17" x14ac:dyDescent="0.25">
      <c r="A818" s="26" t="s">
        <v>81</v>
      </c>
      <c r="B818" s="60" t="s">
        <v>13</v>
      </c>
      <c r="C818" s="60" t="s">
        <v>31</v>
      </c>
      <c r="D818" s="60" t="s">
        <v>200</v>
      </c>
      <c r="E818" s="60">
        <v>2</v>
      </c>
      <c r="F818" s="60" t="s">
        <v>7</v>
      </c>
      <c r="G818" s="72" t="s">
        <v>11</v>
      </c>
      <c r="H818" s="73">
        <v>3386694.78</v>
      </c>
      <c r="I818" s="74">
        <v>1</v>
      </c>
      <c r="J818" s="29">
        <v>2500</v>
      </c>
      <c r="K818" s="29"/>
      <c r="L818" s="29">
        <v>15</v>
      </c>
      <c r="M818" s="29"/>
      <c r="N818" s="29"/>
      <c r="O818" s="29"/>
      <c r="P818" s="73">
        <f t="shared" si="57"/>
        <v>3386694.78</v>
      </c>
      <c r="Q818" s="75" t="s">
        <v>52</v>
      </c>
    </row>
    <row r="819" spans="1:17" x14ac:dyDescent="0.25">
      <c r="A819" s="26" t="s">
        <v>81</v>
      </c>
      <c r="B819" s="60" t="s">
        <v>13</v>
      </c>
      <c r="C819" s="60" t="s">
        <v>31</v>
      </c>
      <c r="D819" s="60" t="s">
        <v>25</v>
      </c>
      <c r="E819" s="60">
        <v>3</v>
      </c>
      <c r="F819" s="60" t="s">
        <v>7</v>
      </c>
      <c r="G819" s="72" t="s">
        <v>11</v>
      </c>
      <c r="H819" s="73">
        <v>3386694.78</v>
      </c>
      <c r="I819" s="74">
        <v>1</v>
      </c>
      <c r="J819" s="29">
        <v>500</v>
      </c>
      <c r="K819" s="29"/>
      <c r="L819" s="29">
        <v>25</v>
      </c>
      <c r="M819" s="29"/>
      <c r="N819" s="29"/>
      <c r="O819" s="29"/>
      <c r="P819" s="73">
        <f t="shared" ref="P819:P826" si="59">+I819*H819</f>
        <v>3386694.78</v>
      </c>
      <c r="Q819" s="75" t="s">
        <v>52</v>
      </c>
    </row>
    <row r="820" spans="1:17" x14ac:dyDescent="0.25">
      <c r="A820" s="26" t="s">
        <v>81</v>
      </c>
      <c r="B820" s="60" t="s">
        <v>13</v>
      </c>
      <c r="C820" s="60" t="s">
        <v>31</v>
      </c>
      <c r="D820" s="60" t="s">
        <v>26</v>
      </c>
      <c r="E820" s="60">
        <v>3</v>
      </c>
      <c r="F820" s="60" t="s">
        <v>7</v>
      </c>
      <c r="G820" s="72" t="s">
        <v>11</v>
      </c>
      <c r="H820" s="73">
        <v>3386694.78</v>
      </c>
      <c r="I820" s="74">
        <v>1</v>
      </c>
      <c r="J820" s="29">
        <v>1000</v>
      </c>
      <c r="K820" s="29"/>
      <c r="L820" s="29">
        <v>25</v>
      </c>
      <c r="M820" s="29"/>
      <c r="N820" s="29"/>
      <c r="O820" s="29"/>
      <c r="P820" s="73">
        <f t="shared" si="59"/>
        <v>3386694.78</v>
      </c>
      <c r="Q820" s="75" t="s">
        <v>52</v>
      </c>
    </row>
    <row r="821" spans="1:17" x14ac:dyDescent="0.25">
      <c r="A821" s="26" t="s">
        <v>81</v>
      </c>
      <c r="B821" s="60" t="s">
        <v>13</v>
      </c>
      <c r="C821" s="60" t="s">
        <v>31</v>
      </c>
      <c r="D821" s="60" t="s">
        <v>27</v>
      </c>
      <c r="E821" s="60">
        <v>3</v>
      </c>
      <c r="F821" s="60" t="s">
        <v>7</v>
      </c>
      <c r="G821" s="72" t="s">
        <v>11</v>
      </c>
      <c r="H821" s="73">
        <v>3386694.78</v>
      </c>
      <c r="I821" s="74">
        <v>1</v>
      </c>
      <c r="J821" s="29">
        <v>1500</v>
      </c>
      <c r="K821" s="29"/>
      <c r="L821" s="29">
        <v>25</v>
      </c>
      <c r="M821" s="29"/>
      <c r="N821" s="29"/>
      <c r="O821" s="29"/>
      <c r="P821" s="73">
        <f t="shared" si="59"/>
        <v>3386694.78</v>
      </c>
      <c r="Q821" s="75" t="s">
        <v>52</v>
      </c>
    </row>
    <row r="822" spans="1:17" x14ac:dyDescent="0.25">
      <c r="A822" s="26" t="s">
        <v>81</v>
      </c>
      <c r="B822" s="60" t="s">
        <v>13</v>
      </c>
      <c r="C822" s="60" t="s">
        <v>31</v>
      </c>
      <c r="D822" s="60" t="s">
        <v>28</v>
      </c>
      <c r="E822" s="60">
        <v>3</v>
      </c>
      <c r="F822" s="60" t="s">
        <v>7</v>
      </c>
      <c r="G822" s="72" t="s">
        <v>11</v>
      </c>
      <c r="H822" s="73">
        <v>3386694.78</v>
      </c>
      <c r="I822" s="74">
        <v>1</v>
      </c>
      <c r="J822" s="29">
        <v>2500</v>
      </c>
      <c r="K822" s="29"/>
      <c r="L822" s="29">
        <v>25</v>
      </c>
      <c r="M822" s="29"/>
      <c r="N822" s="29"/>
      <c r="O822" s="29"/>
      <c r="P822" s="73">
        <f t="shared" si="59"/>
        <v>3386694.78</v>
      </c>
      <c r="Q822" s="75" t="s">
        <v>52</v>
      </c>
    </row>
    <row r="823" spans="1:17" x14ac:dyDescent="0.25">
      <c r="A823" s="26" t="s">
        <v>81</v>
      </c>
      <c r="B823" s="60" t="s">
        <v>13</v>
      </c>
      <c r="C823" s="60" t="s">
        <v>31</v>
      </c>
      <c r="D823" s="60" t="s">
        <v>197</v>
      </c>
      <c r="E823" s="60">
        <v>3</v>
      </c>
      <c r="F823" s="60" t="s">
        <v>7</v>
      </c>
      <c r="G823" s="72" t="s">
        <v>11</v>
      </c>
      <c r="H823" s="73">
        <v>3386694.78</v>
      </c>
      <c r="I823" s="74">
        <v>1</v>
      </c>
      <c r="J823" s="29">
        <v>500</v>
      </c>
      <c r="K823" s="29"/>
      <c r="L823" s="29">
        <v>15</v>
      </c>
      <c r="M823" s="29"/>
      <c r="N823" s="29"/>
      <c r="O823" s="29"/>
      <c r="P823" s="73">
        <f t="shared" si="59"/>
        <v>3386694.78</v>
      </c>
      <c r="Q823" s="75" t="s">
        <v>52</v>
      </c>
    </row>
    <row r="824" spans="1:17" x14ac:dyDescent="0.25">
      <c r="A824" s="26" t="s">
        <v>81</v>
      </c>
      <c r="B824" s="60" t="s">
        <v>13</v>
      </c>
      <c r="C824" s="60" t="s">
        <v>31</v>
      </c>
      <c r="D824" s="60" t="s">
        <v>198</v>
      </c>
      <c r="E824" s="60">
        <v>3</v>
      </c>
      <c r="F824" s="60" t="s">
        <v>7</v>
      </c>
      <c r="G824" s="72" t="s">
        <v>11</v>
      </c>
      <c r="H824" s="73">
        <v>3386694.78</v>
      </c>
      <c r="I824" s="74">
        <v>1</v>
      </c>
      <c r="J824" s="29">
        <v>1000</v>
      </c>
      <c r="K824" s="29"/>
      <c r="L824" s="29">
        <v>15</v>
      </c>
      <c r="M824" s="29"/>
      <c r="N824" s="29"/>
      <c r="O824" s="29"/>
      <c r="P824" s="73">
        <f t="shared" si="59"/>
        <v>3386694.78</v>
      </c>
      <c r="Q824" s="75" t="s">
        <v>52</v>
      </c>
    </row>
    <row r="825" spans="1:17" x14ac:dyDescent="0.25">
      <c r="A825" s="26" t="s">
        <v>81</v>
      </c>
      <c r="B825" s="60" t="s">
        <v>13</v>
      </c>
      <c r="C825" s="60" t="s">
        <v>31</v>
      </c>
      <c r="D825" s="60" t="s">
        <v>199</v>
      </c>
      <c r="E825" s="60">
        <v>3</v>
      </c>
      <c r="F825" s="60" t="s">
        <v>7</v>
      </c>
      <c r="G825" s="72" t="s">
        <v>11</v>
      </c>
      <c r="H825" s="73">
        <v>3386694.78</v>
      </c>
      <c r="I825" s="74">
        <v>1</v>
      </c>
      <c r="J825" s="29">
        <v>1500</v>
      </c>
      <c r="K825" s="29"/>
      <c r="L825" s="29">
        <v>15</v>
      </c>
      <c r="M825" s="29"/>
      <c r="N825" s="29"/>
      <c r="O825" s="29"/>
      <c r="P825" s="73">
        <f t="shared" si="59"/>
        <v>3386694.78</v>
      </c>
      <c r="Q825" s="75" t="s">
        <v>52</v>
      </c>
    </row>
    <row r="826" spans="1:17" x14ac:dyDescent="0.25">
      <c r="A826" s="26" t="s">
        <v>81</v>
      </c>
      <c r="B826" s="60" t="s">
        <v>13</v>
      </c>
      <c r="C826" s="60" t="s">
        <v>31</v>
      </c>
      <c r="D826" s="60" t="s">
        <v>200</v>
      </c>
      <c r="E826" s="60">
        <v>3</v>
      </c>
      <c r="F826" s="60" t="s">
        <v>7</v>
      </c>
      <c r="G826" s="72" t="s">
        <v>11</v>
      </c>
      <c r="H826" s="73">
        <v>3386694.78</v>
      </c>
      <c r="I826" s="74">
        <v>1</v>
      </c>
      <c r="J826" s="29">
        <v>2500</v>
      </c>
      <c r="K826" s="29"/>
      <c r="L826" s="29">
        <v>15</v>
      </c>
      <c r="M826" s="29"/>
      <c r="N826" s="29"/>
      <c r="O826" s="29"/>
      <c r="P826" s="73">
        <f t="shared" si="59"/>
        <v>3386694.78</v>
      </c>
      <c r="Q826" s="75" t="s">
        <v>52</v>
      </c>
    </row>
    <row r="827" spans="1:17" x14ac:dyDescent="0.25">
      <c r="A827" s="26" t="s">
        <v>81</v>
      </c>
      <c r="B827" s="60" t="s">
        <v>13</v>
      </c>
      <c r="C827" s="60" t="s">
        <v>32</v>
      </c>
      <c r="D827" s="60" t="s">
        <v>185</v>
      </c>
      <c r="E827" s="60">
        <v>1</v>
      </c>
      <c r="F827" s="60" t="s">
        <v>7</v>
      </c>
      <c r="G827" s="72" t="s">
        <v>11</v>
      </c>
      <c r="H827" s="73">
        <v>301570.5</v>
      </c>
      <c r="I827" s="74">
        <v>1</v>
      </c>
      <c r="J827" s="29">
        <v>500</v>
      </c>
      <c r="K827" s="29"/>
      <c r="L827" s="29">
        <v>25</v>
      </c>
      <c r="M827" s="29"/>
      <c r="N827" s="29"/>
      <c r="O827" s="29"/>
      <c r="P827" s="73">
        <f t="shared" si="57"/>
        <v>301570.5</v>
      </c>
      <c r="Q827" s="75" t="s">
        <v>52</v>
      </c>
    </row>
    <row r="828" spans="1:17" x14ac:dyDescent="0.25">
      <c r="A828" s="26" t="s">
        <v>81</v>
      </c>
      <c r="B828" s="60" t="s">
        <v>13</v>
      </c>
      <c r="C828" s="60" t="s">
        <v>32</v>
      </c>
      <c r="D828" s="60" t="s">
        <v>186</v>
      </c>
      <c r="E828" s="60">
        <v>1</v>
      </c>
      <c r="F828" s="60" t="s">
        <v>7</v>
      </c>
      <c r="G828" s="72" t="s">
        <v>11</v>
      </c>
      <c r="H828" s="73">
        <v>786430.40000000014</v>
      </c>
      <c r="I828" s="74">
        <v>1</v>
      </c>
      <c r="J828" s="29">
        <v>1000</v>
      </c>
      <c r="K828" s="29"/>
      <c r="L828" s="29">
        <v>25</v>
      </c>
      <c r="M828" s="29"/>
      <c r="N828" s="29"/>
      <c r="O828" s="29"/>
      <c r="P828" s="73">
        <f t="shared" si="57"/>
        <v>786430.40000000014</v>
      </c>
      <c r="Q828" s="75" t="s">
        <v>52</v>
      </c>
    </row>
    <row r="829" spans="1:17" x14ac:dyDescent="0.25">
      <c r="A829" s="26" t="s">
        <v>81</v>
      </c>
      <c r="B829" s="60" t="s">
        <v>13</v>
      </c>
      <c r="C829" s="60" t="s">
        <v>32</v>
      </c>
      <c r="D829" s="60" t="s">
        <v>187</v>
      </c>
      <c r="E829" s="60">
        <v>1</v>
      </c>
      <c r="F829" s="60" t="s">
        <v>7</v>
      </c>
      <c r="G829" s="72" t="s">
        <v>11</v>
      </c>
      <c r="H829" s="73">
        <v>1479422.7</v>
      </c>
      <c r="I829" s="74">
        <v>1</v>
      </c>
      <c r="J829" s="29">
        <v>1500</v>
      </c>
      <c r="K829" s="29"/>
      <c r="L829" s="29">
        <v>25</v>
      </c>
      <c r="M829" s="29"/>
      <c r="N829" s="29"/>
      <c r="O829" s="29"/>
      <c r="P829" s="73">
        <f t="shared" si="57"/>
        <v>1479422.7</v>
      </c>
      <c r="Q829" s="75" t="s">
        <v>52</v>
      </c>
    </row>
    <row r="830" spans="1:17" x14ac:dyDescent="0.25">
      <c r="A830" s="26" t="s">
        <v>81</v>
      </c>
      <c r="B830" s="60" t="s">
        <v>13</v>
      </c>
      <c r="C830" s="60" t="s">
        <v>32</v>
      </c>
      <c r="D830" s="60" t="s">
        <v>188</v>
      </c>
      <c r="E830" s="60">
        <v>1</v>
      </c>
      <c r="F830" s="60" t="s">
        <v>7</v>
      </c>
      <c r="G830" s="72" t="s">
        <v>11</v>
      </c>
      <c r="H830" s="73">
        <v>2841216</v>
      </c>
      <c r="I830" s="74">
        <v>1</v>
      </c>
      <c r="J830" s="29">
        <v>2500</v>
      </c>
      <c r="K830" s="29"/>
      <c r="L830" s="29">
        <v>25</v>
      </c>
      <c r="M830" s="29"/>
      <c r="N830" s="29"/>
      <c r="O830" s="29"/>
      <c r="P830" s="73">
        <f t="shared" si="57"/>
        <v>2841216</v>
      </c>
      <c r="Q830" s="75" t="s">
        <v>52</v>
      </c>
    </row>
    <row r="831" spans="1:17" x14ac:dyDescent="0.25">
      <c r="A831" s="26" t="s">
        <v>81</v>
      </c>
      <c r="B831" s="60" t="s">
        <v>13</v>
      </c>
      <c r="C831" s="60" t="s">
        <v>32</v>
      </c>
      <c r="D831" s="60" t="s">
        <v>189</v>
      </c>
      <c r="E831" s="60">
        <v>1</v>
      </c>
      <c r="F831" s="60" t="s">
        <v>7</v>
      </c>
      <c r="G831" s="72" t="s">
        <v>11</v>
      </c>
      <c r="H831" s="73">
        <v>301570.5</v>
      </c>
      <c r="I831" s="74">
        <v>1</v>
      </c>
      <c r="J831" s="29">
        <v>500</v>
      </c>
      <c r="K831" s="29"/>
      <c r="L831" s="29">
        <v>15</v>
      </c>
      <c r="M831" s="29"/>
      <c r="N831" s="29"/>
      <c r="O831" s="29"/>
      <c r="P831" s="73">
        <f t="shared" si="57"/>
        <v>301570.5</v>
      </c>
      <c r="Q831" s="75" t="s">
        <v>52</v>
      </c>
    </row>
    <row r="832" spans="1:17" x14ac:dyDescent="0.25">
      <c r="A832" s="26" t="s">
        <v>81</v>
      </c>
      <c r="B832" s="60" t="s">
        <v>13</v>
      </c>
      <c r="C832" s="60" t="s">
        <v>32</v>
      </c>
      <c r="D832" s="60" t="s">
        <v>190</v>
      </c>
      <c r="E832" s="60">
        <v>1</v>
      </c>
      <c r="F832" s="60" t="s">
        <v>7</v>
      </c>
      <c r="G832" s="72" t="s">
        <v>11</v>
      </c>
      <c r="H832" s="73">
        <v>786430.40000000014</v>
      </c>
      <c r="I832" s="74">
        <v>1</v>
      </c>
      <c r="J832" s="29">
        <v>1000</v>
      </c>
      <c r="K832" s="29"/>
      <c r="L832" s="29">
        <v>15</v>
      </c>
      <c r="M832" s="29"/>
      <c r="N832" s="29"/>
      <c r="O832" s="29"/>
      <c r="P832" s="73">
        <f t="shared" si="57"/>
        <v>786430.40000000014</v>
      </c>
      <c r="Q832" s="75" t="s">
        <v>52</v>
      </c>
    </row>
    <row r="833" spans="1:17" x14ac:dyDescent="0.25">
      <c r="A833" s="26" t="s">
        <v>81</v>
      </c>
      <c r="B833" s="60" t="s">
        <v>13</v>
      </c>
      <c r="C833" s="60" t="s">
        <v>32</v>
      </c>
      <c r="D833" s="60" t="s">
        <v>191</v>
      </c>
      <c r="E833" s="60">
        <v>1</v>
      </c>
      <c r="F833" s="60" t="s">
        <v>7</v>
      </c>
      <c r="G833" s="72" t="s">
        <v>11</v>
      </c>
      <c r="H833" s="73">
        <v>1479422.7</v>
      </c>
      <c r="I833" s="74">
        <v>1</v>
      </c>
      <c r="J833" s="29">
        <v>1500</v>
      </c>
      <c r="K833" s="29"/>
      <c r="L833" s="29">
        <v>15</v>
      </c>
      <c r="M833" s="29"/>
      <c r="N833" s="29"/>
      <c r="O833" s="29"/>
      <c r="P833" s="73">
        <f t="shared" si="57"/>
        <v>1479422.7</v>
      </c>
      <c r="Q833" s="75" t="s">
        <v>52</v>
      </c>
    </row>
    <row r="834" spans="1:17" x14ac:dyDescent="0.25">
      <c r="A834" s="26" t="s">
        <v>81</v>
      </c>
      <c r="B834" s="60" t="s">
        <v>13</v>
      </c>
      <c r="C834" s="60" t="s">
        <v>32</v>
      </c>
      <c r="D834" s="60" t="s">
        <v>192</v>
      </c>
      <c r="E834" s="60">
        <v>1</v>
      </c>
      <c r="F834" s="60" t="s">
        <v>7</v>
      </c>
      <c r="G834" s="72" t="s">
        <v>11</v>
      </c>
      <c r="H834" s="73">
        <v>2841216</v>
      </c>
      <c r="I834" s="74">
        <v>1</v>
      </c>
      <c r="J834" s="29">
        <v>2500</v>
      </c>
      <c r="K834" s="29"/>
      <c r="L834" s="29">
        <v>15</v>
      </c>
      <c r="M834" s="29"/>
      <c r="N834" s="29"/>
      <c r="O834" s="29"/>
      <c r="P834" s="73">
        <f t="shared" si="57"/>
        <v>2841216</v>
      </c>
      <c r="Q834" s="75" t="s">
        <v>52</v>
      </c>
    </row>
    <row r="835" spans="1:17" x14ac:dyDescent="0.25">
      <c r="A835" s="26" t="s">
        <v>81</v>
      </c>
      <c r="B835" s="60" t="s">
        <v>13</v>
      </c>
      <c r="C835" s="60" t="s">
        <v>32</v>
      </c>
      <c r="D835" s="60" t="s">
        <v>25</v>
      </c>
      <c r="E835" s="60">
        <v>2</v>
      </c>
      <c r="F835" s="60" t="s">
        <v>7</v>
      </c>
      <c r="G835" s="72" t="s">
        <v>11</v>
      </c>
      <c r="H835" s="73">
        <v>422198.70000000007</v>
      </c>
      <c r="I835" s="74">
        <v>1</v>
      </c>
      <c r="J835" s="29">
        <v>500</v>
      </c>
      <c r="K835" s="29"/>
      <c r="L835" s="29">
        <v>25</v>
      </c>
      <c r="M835" s="29"/>
      <c r="N835" s="29"/>
      <c r="O835" s="29"/>
      <c r="P835" s="73">
        <f t="shared" si="57"/>
        <v>422198.70000000007</v>
      </c>
      <c r="Q835" s="75" t="s">
        <v>52</v>
      </c>
    </row>
    <row r="836" spans="1:17" x14ac:dyDescent="0.25">
      <c r="A836" s="26" t="s">
        <v>81</v>
      </c>
      <c r="B836" s="60" t="s">
        <v>13</v>
      </c>
      <c r="C836" s="60" t="s">
        <v>32</v>
      </c>
      <c r="D836" s="60" t="s">
        <v>26</v>
      </c>
      <c r="E836" s="60">
        <v>2</v>
      </c>
      <c r="F836" s="60" t="s">
        <v>7</v>
      </c>
      <c r="G836" s="72" t="s">
        <v>11</v>
      </c>
      <c r="H836" s="73">
        <v>1011124.7999999999</v>
      </c>
      <c r="I836" s="74">
        <v>1</v>
      </c>
      <c r="J836" s="29">
        <v>1000</v>
      </c>
      <c r="K836" s="29"/>
      <c r="L836" s="29">
        <v>25</v>
      </c>
      <c r="M836" s="29"/>
      <c r="N836" s="29"/>
      <c r="O836" s="29"/>
      <c r="P836" s="73">
        <f t="shared" si="57"/>
        <v>1011124.7999999999</v>
      </c>
      <c r="Q836" s="75" t="s">
        <v>52</v>
      </c>
    </row>
    <row r="837" spans="1:17" x14ac:dyDescent="0.25">
      <c r="A837" s="26" t="s">
        <v>81</v>
      </c>
      <c r="B837" s="60" t="s">
        <v>13</v>
      </c>
      <c r="C837" s="60" t="s">
        <v>32</v>
      </c>
      <c r="D837" s="60" t="s">
        <v>27</v>
      </c>
      <c r="E837" s="60">
        <v>2</v>
      </c>
      <c r="F837" s="60" t="s">
        <v>7</v>
      </c>
      <c r="G837" s="72" t="s">
        <v>11</v>
      </c>
      <c r="H837" s="73">
        <v>1643803</v>
      </c>
      <c r="I837" s="74">
        <v>1</v>
      </c>
      <c r="J837" s="29">
        <v>1500</v>
      </c>
      <c r="K837" s="29"/>
      <c r="L837" s="29">
        <v>25</v>
      </c>
      <c r="M837" s="29"/>
      <c r="N837" s="29"/>
      <c r="O837" s="29"/>
      <c r="P837" s="73">
        <f t="shared" si="57"/>
        <v>1643803</v>
      </c>
      <c r="Q837" s="75" t="s">
        <v>52</v>
      </c>
    </row>
    <row r="838" spans="1:17" x14ac:dyDescent="0.25">
      <c r="A838" s="26" t="s">
        <v>81</v>
      </c>
      <c r="B838" s="60" t="s">
        <v>13</v>
      </c>
      <c r="C838" s="60" t="s">
        <v>32</v>
      </c>
      <c r="D838" s="60" t="s">
        <v>28</v>
      </c>
      <c r="E838" s="60">
        <v>2</v>
      </c>
      <c r="F838" s="60" t="s">
        <v>7</v>
      </c>
      <c r="G838" s="72" t="s">
        <v>11</v>
      </c>
      <c r="H838" s="73">
        <v>3409459.1999999997</v>
      </c>
      <c r="I838" s="74">
        <v>1</v>
      </c>
      <c r="J838" s="29">
        <v>2500</v>
      </c>
      <c r="K838" s="29"/>
      <c r="L838" s="29">
        <v>25</v>
      </c>
      <c r="M838" s="29"/>
      <c r="N838" s="29"/>
      <c r="O838" s="29"/>
      <c r="P838" s="73">
        <f t="shared" si="57"/>
        <v>3409459.1999999997</v>
      </c>
      <c r="Q838" s="75" t="s">
        <v>52</v>
      </c>
    </row>
    <row r="839" spans="1:17" x14ac:dyDescent="0.25">
      <c r="A839" s="26" t="s">
        <v>81</v>
      </c>
      <c r="B839" s="60" t="s">
        <v>13</v>
      </c>
      <c r="C839" s="60" t="s">
        <v>32</v>
      </c>
      <c r="D839" s="60" t="s">
        <v>197</v>
      </c>
      <c r="E839" s="60">
        <v>2</v>
      </c>
      <c r="F839" s="60" t="s">
        <v>7</v>
      </c>
      <c r="G839" s="72" t="s">
        <v>11</v>
      </c>
      <c r="H839" s="73">
        <v>422198.70000000007</v>
      </c>
      <c r="I839" s="74">
        <v>1</v>
      </c>
      <c r="J839" s="29">
        <v>500</v>
      </c>
      <c r="K839" s="29"/>
      <c r="L839" s="29">
        <v>15</v>
      </c>
      <c r="M839" s="29"/>
      <c r="N839" s="29"/>
      <c r="O839" s="29"/>
      <c r="P839" s="73">
        <f t="shared" si="57"/>
        <v>422198.70000000007</v>
      </c>
      <c r="Q839" s="75" t="s">
        <v>52</v>
      </c>
    </row>
    <row r="840" spans="1:17" x14ac:dyDescent="0.25">
      <c r="A840" s="26" t="s">
        <v>81</v>
      </c>
      <c r="B840" s="60" t="s">
        <v>13</v>
      </c>
      <c r="C840" s="60" t="s">
        <v>32</v>
      </c>
      <c r="D840" s="60" t="s">
        <v>198</v>
      </c>
      <c r="E840" s="60">
        <v>2</v>
      </c>
      <c r="F840" s="60" t="s">
        <v>7</v>
      </c>
      <c r="G840" s="72" t="s">
        <v>11</v>
      </c>
      <c r="H840" s="73">
        <v>1011124.7999999999</v>
      </c>
      <c r="I840" s="74">
        <v>1</v>
      </c>
      <c r="J840" s="29">
        <v>1000</v>
      </c>
      <c r="K840" s="29"/>
      <c r="L840" s="29">
        <v>15</v>
      </c>
      <c r="M840" s="29"/>
      <c r="N840" s="29"/>
      <c r="O840" s="29"/>
      <c r="P840" s="73">
        <f t="shared" si="57"/>
        <v>1011124.7999999999</v>
      </c>
      <c r="Q840" s="75" t="s">
        <v>52</v>
      </c>
    </row>
    <row r="841" spans="1:17" x14ac:dyDescent="0.25">
      <c r="A841" s="26" t="s">
        <v>81</v>
      </c>
      <c r="B841" s="60" t="s">
        <v>13</v>
      </c>
      <c r="C841" s="60" t="s">
        <v>32</v>
      </c>
      <c r="D841" s="60" t="s">
        <v>199</v>
      </c>
      <c r="E841" s="60">
        <v>2</v>
      </c>
      <c r="F841" s="60" t="s">
        <v>7</v>
      </c>
      <c r="G841" s="72" t="s">
        <v>11</v>
      </c>
      <c r="H841" s="73">
        <v>1643803</v>
      </c>
      <c r="I841" s="74">
        <v>1</v>
      </c>
      <c r="J841" s="29">
        <v>1500</v>
      </c>
      <c r="K841" s="29"/>
      <c r="L841" s="29">
        <v>15</v>
      </c>
      <c r="M841" s="29"/>
      <c r="N841" s="29"/>
      <c r="O841" s="29"/>
      <c r="P841" s="73">
        <f t="shared" si="57"/>
        <v>1643803</v>
      </c>
      <c r="Q841" s="75" t="s">
        <v>52</v>
      </c>
    </row>
    <row r="842" spans="1:17" x14ac:dyDescent="0.25">
      <c r="A842" s="26" t="s">
        <v>81</v>
      </c>
      <c r="B842" s="60" t="s">
        <v>13</v>
      </c>
      <c r="C842" s="60" t="s">
        <v>32</v>
      </c>
      <c r="D842" s="60" t="s">
        <v>200</v>
      </c>
      <c r="E842" s="60">
        <v>2</v>
      </c>
      <c r="F842" s="60" t="s">
        <v>7</v>
      </c>
      <c r="G842" s="72" t="s">
        <v>11</v>
      </c>
      <c r="H842" s="73">
        <v>3409459.1999999997</v>
      </c>
      <c r="I842" s="74">
        <v>1</v>
      </c>
      <c r="J842" s="29">
        <v>2500</v>
      </c>
      <c r="K842" s="29"/>
      <c r="L842" s="29">
        <v>15</v>
      </c>
      <c r="M842" s="29"/>
      <c r="N842" s="29"/>
      <c r="O842" s="29"/>
      <c r="P842" s="73">
        <f t="shared" si="57"/>
        <v>3409459.1999999997</v>
      </c>
      <c r="Q842" s="75" t="s">
        <v>52</v>
      </c>
    </row>
    <row r="843" spans="1:17" x14ac:dyDescent="0.25">
      <c r="A843" s="26" t="s">
        <v>81</v>
      </c>
      <c r="B843" s="60" t="s">
        <v>13</v>
      </c>
      <c r="C843" s="60" t="s">
        <v>32</v>
      </c>
      <c r="D843" s="60" t="s">
        <v>25</v>
      </c>
      <c r="E843" s="60">
        <v>3</v>
      </c>
      <c r="F843" s="60" t="s">
        <v>7</v>
      </c>
      <c r="G843" s="72" t="s">
        <v>11</v>
      </c>
      <c r="H843" s="73">
        <v>422198.70000000007</v>
      </c>
      <c r="I843" s="74">
        <v>1</v>
      </c>
      <c r="J843" s="29">
        <v>500</v>
      </c>
      <c r="K843" s="29"/>
      <c r="L843" s="29">
        <v>25</v>
      </c>
      <c r="M843" s="29"/>
      <c r="N843" s="29"/>
      <c r="O843" s="29"/>
      <c r="P843" s="73">
        <f t="shared" ref="P843:P853" si="60">+I843*H843</f>
        <v>422198.70000000007</v>
      </c>
      <c r="Q843" s="75" t="s">
        <v>52</v>
      </c>
    </row>
    <row r="844" spans="1:17" x14ac:dyDescent="0.25">
      <c r="A844" s="26" t="s">
        <v>81</v>
      </c>
      <c r="B844" s="60" t="s">
        <v>13</v>
      </c>
      <c r="C844" s="60" t="s">
        <v>32</v>
      </c>
      <c r="D844" s="60" t="s">
        <v>26</v>
      </c>
      <c r="E844" s="60">
        <v>3</v>
      </c>
      <c r="F844" s="60" t="s">
        <v>7</v>
      </c>
      <c r="G844" s="72" t="s">
        <v>11</v>
      </c>
      <c r="H844" s="73">
        <v>1011124.7999999999</v>
      </c>
      <c r="I844" s="74">
        <v>1</v>
      </c>
      <c r="J844" s="29">
        <v>1000</v>
      </c>
      <c r="K844" s="29"/>
      <c r="L844" s="29">
        <v>25</v>
      </c>
      <c r="M844" s="29"/>
      <c r="N844" s="29"/>
      <c r="O844" s="29"/>
      <c r="P844" s="73">
        <f t="shared" si="60"/>
        <v>1011124.7999999999</v>
      </c>
      <c r="Q844" s="75" t="s">
        <v>52</v>
      </c>
    </row>
    <row r="845" spans="1:17" x14ac:dyDescent="0.25">
      <c r="A845" s="26" t="s">
        <v>81</v>
      </c>
      <c r="B845" s="60" t="s">
        <v>13</v>
      </c>
      <c r="C845" s="60" t="s">
        <v>32</v>
      </c>
      <c r="D845" s="60" t="s">
        <v>27</v>
      </c>
      <c r="E845" s="60">
        <v>3</v>
      </c>
      <c r="F845" s="60" t="s">
        <v>7</v>
      </c>
      <c r="G845" s="72" t="s">
        <v>11</v>
      </c>
      <c r="H845" s="73">
        <v>1643803</v>
      </c>
      <c r="I845" s="74">
        <v>1</v>
      </c>
      <c r="J845" s="29">
        <v>1500</v>
      </c>
      <c r="K845" s="29"/>
      <c r="L845" s="29">
        <v>25</v>
      </c>
      <c r="M845" s="29"/>
      <c r="N845" s="29"/>
      <c r="O845" s="29"/>
      <c r="P845" s="73">
        <f t="shared" si="60"/>
        <v>1643803</v>
      </c>
      <c r="Q845" s="75" t="s">
        <v>52</v>
      </c>
    </row>
    <row r="846" spans="1:17" x14ac:dyDescent="0.25">
      <c r="A846" s="26" t="s">
        <v>81</v>
      </c>
      <c r="B846" s="60" t="s">
        <v>13</v>
      </c>
      <c r="C846" s="60" t="s">
        <v>32</v>
      </c>
      <c r="D846" s="60" t="s">
        <v>28</v>
      </c>
      <c r="E846" s="60">
        <v>3</v>
      </c>
      <c r="F846" s="60" t="s">
        <v>7</v>
      </c>
      <c r="G846" s="72" t="s">
        <v>11</v>
      </c>
      <c r="H846" s="73">
        <v>3409459.1999999997</v>
      </c>
      <c r="I846" s="74">
        <v>1</v>
      </c>
      <c r="J846" s="29">
        <v>2500</v>
      </c>
      <c r="K846" s="29"/>
      <c r="L846" s="29">
        <v>25</v>
      </c>
      <c r="M846" s="29"/>
      <c r="N846" s="29"/>
      <c r="O846" s="29"/>
      <c r="P846" s="73">
        <f t="shared" si="60"/>
        <v>3409459.1999999997</v>
      </c>
      <c r="Q846" s="75" t="s">
        <v>52</v>
      </c>
    </row>
    <row r="847" spans="1:17" x14ac:dyDescent="0.25">
      <c r="A847" s="26" t="s">
        <v>81</v>
      </c>
      <c r="B847" s="60" t="s">
        <v>13</v>
      </c>
      <c r="C847" s="60" t="s">
        <v>32</v>
      </c>
      <c r="D847" s="60" t="s">
        <v>197</v>
      </c>
      <c r="E847" s="60">
        <v>3</v>
      </c>
      <c r="F847" s="60" t="s">
        <v>7</v>
      </c>
      <c r="G847" s="72" t="s">
        <v>11</v>
      </c>
      <c r="H847" s="73">
        <v>422198.70000000007</v>
      </c>
      <c r="I847" s="74">
        <v>1</v>
      </c>
      <c r="J847" s="29">
        <v>500</v>
      </c>
      <c r="K847" s="29"/>
      <c r="L847" s="29">
        <v>15</v>
      </c>
      <c r="M847" s="29"/>
      <c r="N847" s="29"/>
      <c r="O847" s="29"/>
      <c r="P847" s="73">
        <f t="shared" si="60"/>
        <v>422198.70000000007</v>
      </c>
      <c r="Q847" s="75" t="s">
        <v>52</v>
      </c>
    </row>
    <row r="848" spans="1:17" x14ac:dyDescent="0.25">
      <c r="A848" s="26" t="s">
        <v>81</v>
      </c>
      <c r="B848" s="60" t="s">
        <v>13</v>
      </c>
      <c r="C848" s="60" t="s">
        <v>32</v>
      </c>
      <c r="D848" s="60" t="s">
        <v>198</v>
      </c>
      <c r="E848" s="60">
        <v>3</v>
      </c>
      <c r="F848" s="60" t="s">
        <v>7</v>
      </c>
      <c r="G848" s="72" t="s">
        <v>11</v>
      </c>
      <c r="H848" s="73">
        <v>1011124.7999999999</v>
      </c>
      <c r="I848" s="74">
        <v>1</v>
      </c>
      <c r="J848" s="29">
        <v>1000</v>
      </c>
      <c r="K848" s="29"/>
      <c r="L848" s="29">
        <v>15</v>
      </c>
      <c r="M848" s="29"/>
      <c r="N848" s="29"/>
      <c r="O848" s="29"/>
      <c r="P848" s="73">
        <f t="shared" si="60"/>
        <v>1011124.7999999999</v>
      </c>
      <c r="Q848" s="75" t="s">
        <v>52</v>
      </c>
    </row>
    <row r="849" spans="1:17" x14ac:dyDescent="0.25">
      <c r="A849" s="26" t="s">
        <v>81</v>
      </c>
      <c r="B849" s="60" t="s">
        <v>13</v>
      </c>
      <c r="C849" s="60" t="s">
        <v>32</v>
      </c>
      <c r="D849" s="60" t="s">
        <v>199</v>
      </c>
      <c r="E849" s="60">
        <v>3</v>
      </c>
      <c r="F849" s="60" t="s">
        <v>7</v>
      </c>
      <c r="G849" s="72" t="s">
        <v>11</v>
      </c>
      <c r="H849" s="73">
        <v>1643803</v>
      </c>
      <c r="I849" s="74">
        <v>1</v>
      </c>
      <c r="J849" s="29">
        <v>1500</v>
      </c>
      <c r="K849" s="29"/>
      <c r="L849" s="29">
        <v>15</v>
      </c>
      <c r="M849" s="29"/>
      <c r="N849" s="29"/>
      <c r="O849" s="29"/>
      <c r="P849" s="73">
        <f t="shared" si="60"/>
        <v>1643803</v>
      </c>
      <c r="Q849" s="75" t="s">
        <v>52</v>
      </c>
    </row>
    <row r="850" spans="1:17" x14ac:dyDescent="0.25">
      <c r="A850" s="26" t="s">
        <v>81</v>
      </c>
      <c r="B850" s="60" t="s">
        <v>13</v>
      </c>
      <c r="C850" s="60" t="s">
        <v>32</v>
      </c>
      <c r="D850" s="60" t="s">
        <v>200</v>
      </c>
      <c r="E850" s="60">
        <v>3</v>
      </c>
      <c r="F850" s="60" t="s">
        <v>7</v>
      </c>
      <c r="G850" s="72" t="s">
        <v>11</v>
      </c>
      <c r="H850" s="73">
        <v>3409459.1999999997</v>
      </c>
      <c r="I850" s="74">
        <v>1</v>
      </c>
      <c r="J850" s="29">
        <v>2500</v>
      </c>
      <c r="K850" s="29"/>
      <c r="L850" s="29">
        <v>15</v>
      </c>
      <c r="M850" s="29"/>
      <c r="N850" s="29"/>
      <c r="O850" s="29"/>
      <c r="P850" s="73">
        <f t="shared" si="60"/>
        <v>3409459.1999999997</v>
      </c>
      <c r="Q850" s="75" t="s">
        <v>52</v>
      </c>
    </row>
    <row r="851" spans="1:17" x14ac:dyDescent="0.25">
      <c r="A851" s="26" t="s">
        <v>81</v>
      </c>
      <c r="B851" s="60" t="s">
        <v>15</v>
      </c>
      <c r="C851" s="60" t="s">
        <v>309</v>
      </c>
      <c r="D851" s="60" t="s">
        <v>219</v>
      </c>
      <c r="E851" s="60"/>
      <c r="F851" s="60" t="s">
        <v>1</v>
      </c>
      <c r="G851" s="72" t="s">
        <v>12</v>
      </c>
      <c r="H851" s="38">
        <v>14402.25953337074</v>
      </c>
      <c r="I851" s="74">
        <f t="shared" ref="I851:I853" si="61">+TRM</f>
        <v>4000</v>
      </c>
      <c r="J851" s="29">
        <v>10</v>
      </c>
      <c r="K851" s="76"/>
      <c r="L851" s="29"/>
      <c r="M851" s="29"/>
      <c r="N851" s="29">
        <v>1</v>
      </c>
      <c r="O851" s="29" t="s">
        <v>51</v>
      </c>
      <c r="P851" s="73">
        <f t="shared" si="60"/>
        <v>57609038.133482955</v>
      </c>
      <c r="Q851" s="75" t="s">
        <v>52</v>
      </c>
    </row>
    <row r="852" spans="1:17" x14ac:dyDescent="0.25">
      <c r="A852" s="26" t="s">
        <v>81</v>
      </c>
      <c r="B852" s="60" t="s">
        <v>15</v>
      </c>
      <c r="C852" s="60" t="s">
        <v>309</v>
      </c>
      <c r="D852" s="60" t="s">
        <v>220</v>
      </c>
      <c r="E852" s="60"/>
      <c r="F852" s="60" t="s">
        <v>1</v>
      </c>
      <c r="G852" s="72" t="s">
        <v>12</v>
      </c>
      <c r="H852" s="38">
        <v>16272.500028537303</v>
      </c>
      <c r="I852" s="74">
        <f t="shared" si="61"/>
        <v>4000</v>
      </c>
      <c r="J852" s="29">
        <v>10</v>
      </c>
      <c r="K852" s="76"/>
      <c r="L852" s="29"/>
      <c r="M852" s="29"/>
      <c r="N852" s="29">
        <v>2</v>
      </c>
      <c r="O852" s="29" t="s">
        <v>51</v>
      </c>
      <c r="P852" s="73">
        <f t="shared" si="60"/>
        <v>65090000.114149213</v>
      </c>
      <c r="Q852" s="75" t="s">
        <v>52</v>
      </c>
    </row>
    <row r="853" spans="1:17" x14ac:dyDescent="0.25">
      <c r="A853" s="26" t="s">
        <v>81</v>
      </c>
      <c r="B853" s="60" t="s">
        <v>15</v>
      </c>
      <c r="C853" s="60" t="s">
        <v>309</v>
      </c>
      <c r="D853" s="60" t="s">
        <v>221</v>
      </c>
      <c r="E853" s="60"/>
      <c r="F853" s="60" t="s">
        <v>1</v>
      </c>
      <c r="G853" s="72" t="s">
        <v>12</v>
      </c>
      <c r="H853" s="38">
        <v>18142.240523703858</v>
      </c>
      <c r="I853" s="74">
        <f t="shared" si="61"/>
        <v>4000</v>
      </c>
      <c r="J853" s="29">
        <v>10</v>
      </c>
      <c r="K853" s="76"/>
      <c r="L853" s="29"/>
      <c r="M853" s="29"/>
      <c r="N853" s="29">
        <v>3</v>
      </c>
      <c r="O853" s="29" t="s">
        <v>51</v>
      </c>
      <c r="P853" s="73">
        <f t="shared" si="60"/>
        <v>72568962.094815433</v>
      </c>
      <c r="Q853" s="75" t="s">
        <v>52</v>
      </c>
    </row>
    <row r="854" spans="1:17" x14ac:dyDescent="0.25">
      <c r="A854" s="26" t="s">
        <v>81</v>
      </c>
      <c r="B854" s="60" t="s">
        <v>15</v>
      </c>
      <c r="C854" s="60" t="s">
        <v>309</v>
      </c>
      <c r="D854" s="60" t="s">
        <v>205</v>
      </c>
      <c r="E854" s="60"/>
      <c r="F854" s="60" t="s">
        <v>1</v>
      </c>
      <c r="G854" s="72" t="s">
        <v>12</v>
      </c>
      <c r="H854" s="38">
        <v>14525.002620134994</v>
      </c>
      <c r="I854" s="74">
        <f t="shared" ref="I854:I894" si="62">+TRM</f>
        <v>4000</v>
      </c>
      <c r="J854" s="29">
        <v>20</v>
      </c>
      <c r="K854" s="29"/>
      <c r="L854" s="29"/>
      <c r="M854" s="29"/>
      <c r="N854" s="29">
        <v>1</v>
      </c>
      <c r="O854" s="29" t="s">
        <v>51</v>
      </c>
      <c r="P854" s="73">
        <f t="shared" ref="P854:P871" si="63">+I854*H854</f>
        <v>58100010.480539978</v>
      </c>
      <c r="Q854" s="75" t="s">
        <v>52</v>
      </c>
    </row>
    <row r="855" spans="1:17" x14ac:dyDescent="0.25">
      <c r="A855" s="26" t="s">
        <v>81</v>
      </c>
      <c r="B855" s="60" t="s">
        <v>15</v>
      </c>
      <c r="C855" s="60" t="s">
        <v>309</v>
      </c>
      <c r="D855" s="60" t="s">
        <v>206</v>
      </c>
      <c r="E855" s="60"/>
      <c r="F855" s="60" t="s">
        <v>1</v>
      </c>
      <c r="G855" s="72" t="s">
        <v>12</v>
      </c>
      <c r="H855" s="38">
        <v>16517.986202065807</v>
      </c>
      <c r="I855" s="74">
        <f t="shared" si="62"/>
        <v>4000</v>
      </c>
      <c r="J855" s="29">
        <v>20</v>
      </c>
      <c r="K855" s="76"/>
      <c r="L855" s="29"/>
      <c r="M855" s="29"/>
      <c r="N855" s="29">
        <v>2</v>
      </c>
      <c r="O855" s="29" t="s">
        <v>51</v>
      </c>
      <c r="P855" s="73">
        <f t="shared" si="63"/>
        <v>66071944.808263227</v>
      </c>
      <c r="Q855" s="75" t="s">
        <v>52</v>
      </c>
    </row>
    <row r="856" spans="1:17" x14ac:dyDescent="0.25">
      <c r="A856" s="26" t="s">
        <v>81</v>
      </c>
      <c r="B856" s="60" t="s">
        <v>15</v>
      </c>
      <c r="C856" s="60" t="s">
        <v>309</v>
      </c>
      <c r="D856" s="60" t="s">
        <v>207</v>
      </c>
      <c r="E856" s="60"/>
      <c r="F856" s="60" t="s">
        <v>1</v>
      </c>
      <c r="G856" s="72" t="s">
        <v>12</v>
      </c>
      <c r="H856" s="38">
        <v>18516.677443448076</v>
      </c>
      <c r="I856" s="74">
        <f t="shared" si="62"/>
        <v>4000</v>
      </c>
      <c r="J856" s="29">
        <v>20</v>
      </c>
      <c r="K856" s="76"/>
      <c r="L856" s="29"/>
      <c r="M856" s="29"/>
      <c r="N856" s="29">
        <v>3</v>
      </c>
      <c r="O856" s="29" t="s">
        <v>51</v>
      </c>
      <c r="P856" s="73">
        <f t="shared" si="63"/>
        <v>74066709.773792297</v>
      </c>
      <c r="Q856" s="75" t="s">
        <v>52</v>
      </c>
    </row>
    <row r="857" spans="1:17" x14ac:dyDescent="0.25">
      <c r="A857" s="26" t="s">
        <v>81</v>
      </c>
      <c r="B857" s="60" t="s">
        <v>15</v>
      </c>
      <c r="C857" s="60" t="s">
        <v>309</v>
      </c>
      <c r="D857" s="60" t="s">
        <v>208</v>
      </c>
      <c r="E857" s="60"/>
      <c r="F857" s="60" t="s">
        <v>1</v>
      </c>
      <c r="G857" s="72" t="s">
        <v>12</v>
      </c>
      <c r="H857" s="38">
        <v>12818.881585522526</v>
      </c>
      <c r="I857" s="74">
        <f t="shared" si="62"/>
        <v>4000</v>
      </c>
      <c r="J857" s="29">
        <v>30</v>
      </c>
      <c r="K857" s="76"/>
      <c r="L857" s="29"/>
      <c r="M857" s="29"/>
      <c r="N857" s="29">
        <v>1</v>
      </c>
      <c r="O857" s="29" t="s">
        <v>51</v>
      </c>
      <c r="P857" s="73">
        <f t="shared" si="63"/>
        <v>51275526.3420901</v>
      </c>
      <c r="Q857" s="75" t="s">
        <v>52</v>
      </c>
    </row>
    <row r="858" spans="1:17" x14ac:dyDescent="0.25">
      <c r="A858" s="26" t="s">
        <v>81</v>
      </c>
      <c r="B858" s="60" t="s">
        <v>15</v>
      </c>
      <c r="C858" s="60" t="s">
        <v>309</v>
      </c>
      <c r="D858" s="60" t="s">
        <v>209</v>
      </c>
      <c r="E858" s="60"/>
      <c r="F858" s="60" t="s">
        <v>1</v>
      </c>
      <c r="G858" s="72" t="s">
        <v>12</v>
      </c>
      <c r="H858" s="38">
        <v>15963.165856164855</v>
      </c>
      <c r="I858" s="74">
        <f t="shared" si="62"/>
        <v>4000</v>
      </c>
      <c r="J858" s="29">
        <v>30</v>
      </c>
      <c r="K858" s="76"/>
      <c r="L858" s="29"/>
      <c r="M858" s="29"/>
      <c r="N858" s="29">
        <v>2</v>
      </c>
      <c r="O858" s="29" t="s">
        <v>51</v>
      </c>
      <c r="P858" s="73">
        <f t="shared" si="63"/>
        <v>63852663.424659416</v>
      </c>
      <c r="Q858" s="75" t="s">
        <v>52</v>
      </c>
    </row>
    <row r="859" spans="1:17" x14ac:dyDescent="0.25">
      <c r="A859" s="26" t="s">
        <v>81</v>
      </c>
      <c r="B859" s="60" t="s">
        <v>15</v>
      </c>
      <c r="C859" s="60" t="s">
        <v>309</v>
      </c>
      <c r="D859" s="60" t="s">
        <v>210</v>
      </c>
      <c r="E859" s="60"/>
      <c r="F859" s="60" t="s">
        <v>1</v>
      </c>
      <c r="G859" s="72" t="s">
        <v>12</v>
      </c>
      <c r="H859" s="38">
        <v>19206.245478844718</v>
      </c>
      <c r="I859" s="74">
        <f t="shared" si="62"/>
        <v>4000</v>
      </c>
      <c r="J859" s="29">
        <v>30</v>
      </c>
      <c r="K859" s="76"/>
      <c r="L859" s="29"/>
      <c r="M859" s="29"/>
      <c r="N859" s="29">
        <v>3</v>
      </c>
      <c r="O859" s="29" t="s">
        <v>51</v>
      </c>
      <c r="P859" s="73">
        <f t="shared" si="63"/>
        <v>76824981.915378869</v>
      </c>
      <c r="Q859" s="75" t="s">
        <v>52</v>
      </c>
    </row>
    <row r="860" spans="1:17" x14ac:dyDescent="0.25">
      <c r="A860" s="26" t="s">
        <v>81</v>
      </c>
      <c r="B860" s="60" t="s">
        <v>15</v>
      </c>
      <c r="C860" s="60" t="s">
        <v>310</v>
      </c>
      <c r="D860" s="60" t="s">
        <v>219</v>
      </c>
      <c r="E860" s="60"/>
      <c r="F860" s="60" t="s">
        <v>1</v>
      </c>
      <c r="G860" s="72" t="s">
        <v>12</v>
      </c>
      <c r="H860" s="38">
        <v>3065.44</v>
      </c>
      <c r="I860" s="74">
        <f t="shared" si="62"/>
        <v>4000</v>
      </c>
      <c r="J860" s="29">
        <v>10</v>
      </c>
      <c r="K860" s="29"/>
      <c r="L860" s="29"/>
      <c r="M860" s="29"/>
      <c r="N860" s="29">
        <v>1</v>
      </c>
      <c r="O860" s="29" t="s">
        <v>51</v>
      </c>
      <c r="P860" s="73">
        <f>+I860*H860</f>
        <v>12261760</v>
      </c>
      <c r="Q860" s="75" t="s">
        <v>52</v>
      </c>
    </row>
    <row r="861" spans="1:17" x14ac:dyDescent="0.25">
      <c r="A861" s="26" t="s">
        <v>81</v>
      </c>
      <c r="B861" s="60" t="s">
        <v>15</v>
      </c>
      <c r="C861" s="60" t="s">
        <v>310</v>
      </c>
      <c r="D861" s="60" t="s">
        <v>220</v>
      </c>
      <c r="E861" s="60"/>
      <c r="F861" s="60" t="s">
        <v>1</v>
      </c>
      <c r="G861" s="72" t="s">
        <v>12</v>
      </c>
      <c r="H861" s="38">
        <v>6130.88</v>
      </c>
      <c r="I861" s="74">
        <f t="shared" si="62"/>
        <v>4000</v>
      </c>
      <c r="J861" s="29">
        <v>10</v>
      </c>
      <c r="K861" s="29"/>
      <c r="L861" s="29"/>
      <c r="M861" s="29"/>
      <c r="N861" s="29">
        <v>2</v>
      </c>
      <c r="O861" s="29" t="s">
        <v>51</v>
      </c>
      <c r="P861" s="73">
        <f t="shared" ref="P861:P868" si="64">+I861*H861</f>
        <v>24523520</v>
      </c>
      <c r="Q861" s="75" t="s">
        <v>52</v>
      </c>
    </row>
    <row r="862" spans="1:17" x14ac:dyDescent="0.25">
      <c r="A862" s="26" t="s">
        <v>81</v>
      </c>
      <c r="B862" s="60" t="s">
        <v>15</v>
      </c>
      <c r="C862" s="60" t="s">
        <v>310</v>
      </c>
      <c r="D862" s="60" t="s">
        <v>221</v>
      </c>
      <c r="E862" s="60"/>
      <c r="F862" s="60" t="s">
        <v>1</v>
      </c>
      <c r="G862" s="72" t="s">
        <v>12</v>
      </c>
      <c r="H862" s="38">
        <v>9196.32</v>
      </c>
      <c r="I862" s="74">
        <f t="shared" si="62"/>
        <v>4000</v>
      </c>
      <c r="J862" s="29">
        <v>10</v>
      </c>
      <c r="K862" s="29"/>
      <c r="L862" s="29"/>
      <c r="M862" s="29"/>
      <c r="N862" s="29">
        <v>3</v>
      </c>
      <c r="O862" s="29" t="s">
        <v>51</v>
      </c>
      <c r="P862" s="73">
        <f t="shared" si="64"/>
        <v>36785280</v>
      </c>
      <c r="Q862" s="75" t="s">
        <v>52</v>
      </c>
    </row>
    <row r="863" spans="1:17" x14ac:dyDescent="0.25">
      <c r="A863" s="26" t="s">
        <v>81</v>
      </c>
      <c r="B863" s="60" t="s">
        <v>15</v>
      </c>
      <c r="C863" s="60" t="s">
        <v>310</v>
      </c>
      <c r="D863" s="60" t="s">
        <v>205</v>
      </c>
      <c r="E863" s="60"/>
      <c r="F863" s="60" t="s">
        <v>1</v>
      </c>
      <c r="G863" s="72" t="s">
        <v>12</v>
      </c>
      <c r="H863" s="38">
        <v>3065.44</v>
      </c>
      <c r="I863" s="74">
        <f t="shared" si="62"/>
        <v>4000</v>
      </c>
      <c r="J863" s="29">
        <v>20</v>
      </c>
      <c r="K863" s="29"/>
      <c r="L863" s="29"/>
      <c r="M863" s="29"/>
      <c r="N863" s="29">
        <v>1</v>
      </c>
      <c r="O863" s="29" t="s">
        <v>51</v>
      </c>
      <c r="P863" s="73">
        <f t="shared" si="64"/>
        <v>12261760</v>
      </c>
      <c r="Q863" s="75" t="s">
        <v>52</v>
      </c>
    </row>
    <row r="864" spans="1:17" x14ac:dyDescent="0.25">
      <c r="A864" s="26" t="s">
        <v>81</v>
      </c>
      <c r="B864" s="60" t="s">
        <v>15</v>
      </c>
      <c r="C864" s="60" t="s">
        <v>310</v>
      </c>
      <c r="D864" s="60" t="s">
        <v>206</v>
      </c>
      <c r="E864" s="60"/>
      <c r="F864" s="60" t="s">
        <v>1</v>
      </c>
      <c r="G864" s="72" t="s">
        <v>12</v>
      </c>
      <c r="H864" s="38">
        <v>6130.88</v>
      </c>
      <c r="I864" s="74">
        <f t="shared" si="62"/>
        <v>4000</v>
      </c>
      <c r="J864" s="29">
        <v>20</v>
      </c>
      <c r="K864" s="29"/>
      <c r="L864" s="29"/>
      <c r="M864" s="29"/>
      <c r="N864" s="29">
        <v>2</v>
      </c>
      <c r="O864" s="29" t="s">
        <v>51</v>
      </c>
      <c r="P864" s="73">
        <f t="shared" si="64"/>
        <v>24523520</v>
      </c>
      <c r="Q864" s="75" t="s">
        <v>52</v>
      </c>
    </row>
    <row r="865" spans="1:17" x14ac:dyDescent="0.25">
      <c r="A865" s="26" t="s">
        <v>81</v>
      </c>
      <c r="B865" s="60" t="s">
        <v>15</v>
      </c>
      <c r="C865" s="60" t="s">
        <v>310</v>
      </c>
      <c r="D865" s="60" t="s">
        <v>207</v>
      </c>
      <c r="E865" s="60"/>
      <c r="F865" s="60" t="s">
        <v>1</v>
      </c>
      <c r="G865" s="72" t="s">
        <v>12</v>
      </c>
      <c r="H865" s="38">
        <v>9196.32</v>
      </c>
      <c r="I865" s="74">
        <f t="shared" si="62"/>
        <v>4000</v>
      </c>
      <c r="J865" s="29">
        <v>20</v>
      </c>
      <c r="K865" s="29"/>
      <c r="L865" s="29"/>
      <c r="M865" s="29"/>
      <c r="N865" s="29">
        <v>3</v>
      </c>
      <c r="O865" s="29" t="s">
        <v>51</v>
      </c>
      <c r="P865" s="73">
        <f t="shared" si="64"/>
        <v>36785280</v>
      </c>
      <c r="Q865" s="75" t="s">
        <v>52</v>
      </c>
    </row>
    <row r="866" spans="1:17" x14ac:dyDescent="0.25">
      <c r="A866" s="26" t="s">
        <v>81</v>
      </c>
      <c r="B866" s="60" t="s">
        <v>15</v>
      </c>
      <c r="C866" s="60" t="s">
        <v>310</v>
      </c>
      <c r="D866" s="60" t="s">
        <v>208</v>
      </c>
      <c r="E866" s="60"/>
      <c r="F866" s="60" t="s">
        <v>1</v>
      </c>
      <c r="G866" s="72" t="s">
        <v>12</v>
      </c>
      <c r="H866" s="38">
        <v>3065.44</v>
      </c>
      <c r="I866" s="74">
        <f t="shared" si="62"/>
        <v>4000</v>
      </c>
      <c r="J866" s="29">
        <v>30</v>
      </c>
      <c r="K866" s="29"/>
      <c r="L866" s="29"/>
      <c r="M866" s="29"/>
      <c r="N866" s="29">
        <v>1</v>
      </c>
      <c r="O866" s="29" t="s">
        <v>51</v>
      </c>
      <c r="P866" s="73">
        <f t="shared" si="64"/>
        <v>12261760</v>
      </c>
      <c r="Q866" s="75" t="s">
        <v>52</v>
      </c>
    </row>
    <row r="867" spans="1:17" x14ac:dyDescent="0.25">
      <c r="A867" s="26" t="s">
        <v>81</v>
      </c>
      <c r="B867" s="60" t="s">
        <v>15</v>
      </c>
      <c r="C867" s="60" t="s">
        <v>310</v>
      </c>
      <c r="D867" s="60" t="s">
        <v>209</v>
      </c>
      <c r="E867" s="60"/>
      <c r="F867" s="60" t="s">
        <v>1</v>
      </c>
      <c r="G867" s="72" t="s">
        <v>12</v>
      </c>
      <c r="H867" s="38">
        <v>6130.88</v>
      </c>
      <c r="I867" s="74">
        <f t="shared" si="62"/>
        <v>4000</v>
      </c>
      <c r="J867" s="29">
        <v>30</v>
      </c>
      <c r="K867" s="29"/>
      <c r="L867" s="29"/>
      <c r="M867" s="29"/>
      <c r="N867" s="29">
        <v>2</v>
      </c>
      <c r="O867" s="29" t="s">
        <v>51</v>
      </c>
      <c r="P867" s="73">
        <f t="shared" si="64"/>
        <v>24523520</v>
      </c>
      <c r="Q867" s="75" t="s">
        <v>52</v>
      </c>
    </row>
    <row r="868" spans="1:17" x14ac:dyDescent="0.25">
      <c r="A868" s="26" t="s">
        <v>81</v>
      </c>
      <c r="B868" s="60" t="s">
        <v>15</v>
      </c>
      <c r="C868" s="60" t="s">
        <v>310</v>
      </c>
      <c r="D868" s="60" t="s">
        <v>210</v>
      </c>
      <c r="E868" s="60"/>
      <c r="F868" s="60" t="s">
        <v>1</v>
      </c>
      <c r="G868" s="72" t="s">
        <v>12</v>
      </c>
      <c r="H868" s="38">
        <v>9196.32</v>
      </c>
      <c r="I868" s="74">
        <f t="shared" si="62"/>
        <v>4000</v>
      </c>
      <c r="J868" s="29">
        <v>30</v>
      </c>
      <c r="K868" s="29"/>
      <c r="L868" s="29"/>
      <c r="M868" s="29"/>
      <c r="N868" s="29">
        <v>3</v>
      </c>
      <c r="O868" s="29" t="s">
        <v>51</v>
      </c>
      <c r="P868" s="73">
        <f t="shared" si="64"/>
        <v>36785280</v>
      </c>
      <c r="Q868" s="75" t="s">
        <v>52</v>
      </c>
    </row>
    <row r="869" spans="1:17" x14ac:dyDescent="0.25">
      <c r="A869" s="26" t="s">
        <v>81</v>
      </c>
      <c r="B869" s="60" t="s">
        <v>15</v>
      </c>
      <c r="C869" s="60" t="s">
        <v>33</v>
      </c>
      <c r="D869" s="60" t="s">
        <v>219</v>
      </c>
      <c r="E869" s="60"/>
      <c r="F869" s="60" t="s">
        <v>1</v>
      </c>
      <c r="G869" s="72" t="s">
        <v>12</v>
      </c>
      <c r="H869" s="38">
        <v>6673.8</v>
      </c>
      <c r="I869" s="74">
        <f t="shared" si="62"/>
        <v>4000</v>
      </c>
      <c r="J869" s="29">
        <v>10</v>
      </c>
      <c r="K869" s="29"/>
      <c r="L869" s="29"/>
      <c r="M869" s="29"/>
      <c r="N869" s="29">
        <v>1</v>
      </c>
      <c r="O869" s="29" t="s">
        <v>51</v>
      </c>
      <c r="P869" s="73">
        <f t="shared" si="63"/>
        <v>26695200</v>
      </c>
      <c r="Q869" s="75" t="s">
        <v>52</v>
      </c>
    </row>
    <row r="870" spans="1:17" x14ac:dyDescent="0.25">
      <c r="A870" s="26" t="s">
        <v>81</v>
      </c>
      <c r="B870" s="60" t="s">
        <v>15</v>
      </c>
      <c r="C870" s="60" t="s">
        <v>33</v>
      </c>
      <c r="D870" s="60" t="s">
        <v>220</v>
      </c>
      <c r="E870" s="60"/>
      <c r="F870" s="60" t="s">
        <v>1</v>
      </c>
      <c r="G870" s="72" t="s">
        <v>12</v>
      </c>
      <c r="H870" s="38">
        <v>6673.8</v>
      </c>
      <c r="I870" s="74">
        <f t="shared" si="62"/>
        <v>4000</v>
      </c>
      <c r="J870" s="29">
        <v>10</v>
      </c>
      <c r="K870" s="29"/>
      <c r="L870" s="29"/>
      <c r="M870" s="29"/>
      <c r="N870" s="29">
        <v>2</v>
      </c>
      <c r="O870" s="29" t="s">
        <v>51</v>
      </c>
      <c r="P870" s="73">
        <f t="shared" si="63"/>
        <v>26695200</v>
      </c>
      <c r="Q870" s="75" t="s">
        <v>52</v>
      </c>
    </row>
    <row r="871" spans="1:17" x14ac:dyDescent="0.25">
      <c r="A871" s="26" t="s">
        <v>81</v>
      </c>
      <c r="B871" s="60" t="s">
        <v>15</v>
      </c>
      <c r="C871" s="60" t="s">
        <v>33</v>
      </c>
      <c r="D871" s="60" t="s">
        <v>221</v>
      </c>
      <c r="E871" s="60"/>
      <c r="F871" s="60" t="s">
        <v>1</v>
      </c>
      <c r="G871" s="72" t="s">
        <v>12</v>
      </c>
      <c r="H871" s="38">
        <v>6673.8</v>
      </c>
      <c r="I871" s="74">
        <f t="shared" si="62"/>
        <v>4000</v>
      </c>
      <c r="J871" s="29">
        <v>10</v>
      </c>
      <c r="K871" s="29"/>
      <c r="L871" s="29"/>
      <c r="M871" s="29"/>
      <c r="N871" s="29">
        <v>3</v>
      </c>
      <c r="O871" s="29" t="s">
        <v>51</v>
      </c>
      <c r="P871" s="73">
        <f t="shared" si="63"/>
        <v>26695200</v>
      </c>
      <c r="Q871" s="75" t="s">
        <v>52</v>
      </c>
    </row>
    <row r="872" spans="1:17" x14ac:dyDescent="0.25">
      <c r="A872" s="26" t="s">
        <v>81</v>
      </c>
      <c r="B872" s="60" t="s">
        <v>15</v>
      </c>
      <c r="C872" s="60" t="s">
        <v>33</v>
      </c>
      <c r="D872" s="60" t="s">
        <v>205</v>
      </c>
      <c r="E872" s="60"/>
      <c r="F872" s="60" t="s">
        <v>1</v>
      </c>
      <c r="G872" s="72" t="s">
        <v>12</v>
      </c>
      <c r="H872" s="38">
        <v>6673.8</v>
      </c>
      <c r="I872" s="74">
        <f t="shared" si="62"/>
        <v>4000</v>
      </c>
      <c r="J872" s="29">
        <v>20</v>
      </c>
      <c r="K872" s="29"/>
      <c r="L872" s="29"/>
      <c r="M872" s="29"/>
      <c r="N872" s="29">
        <v>1</v>
      </c>
      <c r="O872" s="29" t="s">
        <v>51</v>
      </c>
      <c r="P872" s="73">
        <f t="shared" ref="P872:P933" si="65">+I872*H872</f>
        <v>26695200</v>
      </c>
      <c r="Q872" s="75" t="s">
        <v>52</v>
      </c>
    </row>
    <row r="873" spans="1:17" x14ac:dyDescent="0.25">
      <c r="A873" s="26" t="s">
        <v>81</v>
      </c>
      <c r="B873" s="60" t="s">
        <v>15</v>
      </c>
      <c r="C873" s="60" t="s">
        <v>33</v>
      </c>
      <c r="D873" s="60" t="s">
        <v>206</v>
      </c>
      <c r="E873" s="60"/>
      <c r="F873" s="60" t="s">
        <v>1</v>
      </c>
      <c r="G873" s="72" t="s">
        <v>12</v>
      </c>
      <c r="H873" s="38">
        <v>6673.8</v>
      </c>
      <c r="I873" s="74">
        <f t="shared" si="62"/>
        <v>4000</v>
      </c>
      <c r="J873" s="29">
        <v>20</v>
      </c>
      <c r="K873" s="29"/>
      <c r="L873" s="29"/>
      <c r="M873" s="29"/>
      <c r="N873" s="29">
        <v>2</v>
      </c>
      <c r="O873" s="29" t="s">
        <v>51</v>
      </c>
      <c r="P873" s="73">
        <f t="shared" si="65"/>
        <v>26695200</v>
      </c>
      <c r="Q873" s="75" t="s">
        <v>52</v>
      </c>
    </row>
    <row r="874" spans="1:17" x14ac:dyDescent="0.25">
      <c r="A874" s="26" t="s">
        <v>81</v>
      </c>
      <c r="B874" s="60" t="s">
        <v>15</v>
      </c>
      <c r="C874" s="60" t="s">
        <v>33</v>
      </c>
      <c r="D874" s="60" t="s">
        <v>207</v>
      </c>
      <c r="E874" s="60"/>
      <c r="F874" s="60" t="s">
        <v>1</v>
      </c>
      <c r="G874" s="72" t="s">
        <v>12</v>
      </c>
      <c r="H874" s="38">
        <v>6673.8</v>
      </c>
      <c r="I874" s="74">
        <f t="shared" si="62"/>
        <v>4000</v>
      </c>
      <c r="J874" s="29">
        <v>20</v>
      </c>
      <c r="K874" s="29"/>
      <c r="L874" s="29"/>
      <c r="M874" s="29"/>
      <c r="N874" s="29">
        <v>3</v>
      </c>
      <c r="O874" s="29" t="s">
        <v>51</v>
      </c>
      <c r="P874" s="73">
        <f t="shared" si="65"/>
        <v>26695200</v>
      </c>
      <c r="Q874" s="75" t="s">
        <v>52</v>
      </c>
    </row>
    <row r="875" spans="1:17" x14ac:dyDescent="0.25">
      <c r="A875" s="26" t="s">
        <v>81</v>
      </c>
      <c r="B875" s="60" t="s">
        <v>15</v>
      </c>
      <c r="C875" s="60" t="s">
        <v>33</v>
      </c>
      <c r="D875" s="60" t="s">
        <v>208</v>
      </c>
      <c r="E875" s="60"/>
      <c r="F875" s="60" t="s">
        <v>1</v>
      </c>
      <c r="G875" s="72" t="s">
        <v>12</v>
      </c>
      <c r="H875" s="38">
        <v>6673.8</v>
      </c>
      <c r="I875" s="74">
        <f t="shared" si="62"/>
        <v>4000</v>
      </c>
      <c r="J875" s="29">
        <v>30</v>
      </c>
      <c r="K875" s="29"/>
      <c r="L875" s="29"/>
      <c r="M875" s="29"/>
      <c r="N875" s="29">
        <v>1</v>
      </c>
      <c r="O875" s="29" t="s">
        <v>51</v>
      </c>
      <c r="P875" s="73">
        <f t="shared" si="65"/>
        <v>26695200</v>
      </c>
      <c r="Q875" s="75" t="s">
        <v>52</v>
      </c>
    </row>
    <row r="876" spans="1:17" x14ac:dyDescent="0.25">
      <c r="A876" s="26" t="s">
        <v>81</v>
      </c>
      <c r="B876" s="60" t="s">
        <v>15</v>
      </c>
      <c r="C876" s="60" t="s">
        <v>33</v>
      </c>
      <c r="D876" s="60" t="s">
        <v>209</v>
      </c>
      <c r="E876" s="60"/>
      <c r="F876" s="60" t="s">
        <v>1</v>
      </c>
      <c r="G876" s="72" t="s">
        <v>12</v>
      </c>
      <c r="H876" s="38">
        <v>6673.8</v>
      </c>
      <c r="I876" s="74">
        <f t="shared" si="62"/>
        <v>4000</v>
      </c>
      <c r="J876" s="29">
        <v>30</v>
      </c>
      <c r="K876" s="29"/>
      <c r="L876" s="29"/>
      <c r="M876" s="29"/>
      <c r="N876" s="29">
        <v>2</v>
      </c>
      <c r="O876" s="29" t="s">
        <v>51</v>
      </c>
      <c r="P876" s="73">
        <f t="shared" si="65"/>
        <v>26695200</v>
      </c>
      <c r="Q876" s="75" t="s">
        <v>52</v>
      </c>
    </row>
    <row r="877" spans="1:17" x14ac:dyDescent="0.25">
      <c r="A877" s="26" t="s">
        <v>81</v>
      </c>
      <c r="B877" s="60" t="s">
        <v>15</v>
      </c>
      <c r="C877" s="60" t="s">
        <v>33</v>
      </c>
      <c r="D877" s="60" t="s">
        <v>210</v>
      </c>
      <c r="E877" s="60"/>
      <c r="F877" s="60" t="s">
        <v>1</v>
      </c>
      <c r="G877" s="72" t="s">
        <v>12</v>
      </c>
      <c r="H877" s="38">
        <v>6673.8</v>
      </c>
      <c r="I877" s="74">
        <f t="shared" si="62"/>
        <v>4000</v>
      </c>
      <c r="J877" s="29">
        <v>30</v>
      </c>
      <c r="K877" s="29"/>
      <c r="L877" s="29"/>
      <c r="M877" s="29"/>
      <c r="N877" s="29">
        <v>3</v>
      </c>
      <c r="O877" s="29" t="s">
        <v>51</v>
      </c>
      <c r="P877" s="73">
        <f t="shared" si="65"/>
        <v>26695200</v>
      </c>
      <c r="Q877" s="75" t="s">
        <v>52</v>
      </c>
    </row>
    <row r="878" spans="1:17" x14ac:dyDescent="0.25">
      <c r="A878" s="26" t="s">
        <v>81</v>
      </c>
      <c r="B878" s="60" t="s">
        <v>15</v>
      </c>
      <c r="C878" s="26" t="s">
        <v>216</v>
      </c>
      <c r="D878" s="60" t="s">
        <v>222</v>
      </c>
      <c r="E878" s="60">
        <v>1</v>
      </c>
      <c r="F878" s="60" t="s">
        <v>1</v>
      </c>
      <c r="G878" s="72" t="s">
        <v>12</v>
      </c>
      <c r="H878" s="73">
        <v>14587755.857000001</v>
      </c>
      <c r="I878" s="74">
        <v>1</v>
      </c>
      <c r="J878" s="29">
        <v>10</v>
      </c>
      <c r="K878" s="29"/>
      <c r="L878" s="29"/>
      <c r="M878" s="29"/>
      <c r="N878" s="29"/>
      <c r="O878" s="29" t="s">
        <v>51</v>
      </c>
      <c r="P878" s="73">
        <f t="shared" ref="P878" si="66">+I878*H878</f>
        <v>14587755.857000001</v>
      </c>
      <c r="Q878" s="75" t="s">
        <v>52</v>
      </c>
    </row>
    <row r="879" spans="1:17" x14ac:dyDescent="0.25">
      <c r="A879" s="26" t="s">
        <v>81</v>
      </c>
      <c r="B879" s="60" t="s">
        <v>15</v>
      </c>
      <c r="C879" s="26" t="s">
        <v>216</v>
      </c>
      <c r="D879" s="60" t="s">
        <v>211</v>
      </c>
      <c r="E879" s="60">
        <v>1</v>
      </c>
      <c r="F879" s="60" t="s">
        <v>1</v>
      </c>
      <c r="G879" s="72" t="s">
        <v>12</v>
      </c>
      <c r="H879" s="73">
        <v>14587755.857000001</v>
      </c>
      <c r="I879" s="74">
        <v>1</v>
      </c>
      <c r="J879" s="29">
        <v>20</v>
      </c>
      <c r="K879" s="29"/>
      <c r="L879" s="29"/>
      <c r="M879" s="29"/>
      <c r="N879" s="29"/>
      <c r="O879" s="29" t="s">
        <v>51</v>
      </c>
      <c r="P879" s="73">
        <f t="shared" si="65"/>
        <v>14587755.857000001</v>
      </c>
      <c r="Q879" s="75" t="s">
        <v>52</v>
      </c>
    </row>
    <row r="880" spans="1:17" x14ac:dyDescent="0.25">
      <c r="A880" s="26" t="s">
        <v>81</v>
      </c>
      <c r="B880" s="60" t="s">
        <v>15</v>
      </c>
      <c r="C880" s="26" t="s">
        <v>216</v>
      </c>
      <c r="D880" s="60" t="s">
        <v>212</v>
      </c>
      <c r="E880" s="60">
        <v>1</v>
      </c>
      <c r="F880" s="60" t="s">
        <v>1</v>
      </c>
      <c r="G880" s="72" t="s">
        <v>12</v>
      </c>
      <c r="H880" s="73">
        <v>14587755.857000001</v>
      </c>
      <c r="I880" s="74">
        <v>1</v>
      </c>
      <c r="J880" s="29">
        <v>30</v>
      </c>
      <c r="K880" s="29"/>
      <c r="L880" s="29"/>
      <c r="M880" s="29"/>
      <c r="N880" s="29"/>
      <c r="O880" s="29" t="s">
        <v>51</v>
      </c>
      <c r="P880" s="73">
        <f t="shared" si="65"/>
        <v>14587755.857000001</v>
      </c>
      <c r="Q880" s="75" t="s">
        <v>52</v>
      </c>
    </row>
    <row r="881" spans="1:20" x14ac:dyDescent="0.25">
      <c r="A881" s="26" t="s">
        <v>81</v>
      </c>
      <c r="B881" s="60" t="s">
        <v>15</v>
      </c>
      <c r="C881" s="26" t="s">
        <v>217</v>
      </c>
      <c r="D881" s="60" t="s">
        <v>222</v>
      </c>
      <c r="E881" s="60">
        <v>2</v>
      </c>
      <c r="F881" s="60" t="s">
        <v>1</v>
      </c>
      <c r="G881" s="72" t="s">
        <v>12</v>
      </c>
      <c r="H881" s="73">
        <v>14587755.857000001</v>
      </c>
      <c r="I881" s="74">
        <v>1</v>
      </c>
      <c r="J881" s="29">
        <v>10</v>
      </c>
      <c r="K881" s="29"/>
      <c r="L881" s="29"/>
      <c r="M881" s="29"/>
      <c r="N881" s="29"/>
      <c r="O881" s="29" t="s">
        <v>51</v>
      </c>
      <c r="P881" s="73">
        <f t="shared" ref="P881" si="67">+I881*H881</f>
        <v>14587755.857000001</v>
      </c>
      <c r="Q881" s="75" t="s">
        <v>52</v>
      </c>
      <c r="S881" s="56"/>
    </row>
    <row r="882" spans="1:20" x14ac:dyDescent="0.25">
      <c r="A882" s="26" t="s">
        <v>81</v>
      </c>
      <c r="B882" s="60" t="s">
        <v>15</v>
      </c>
      <c r="C882" s="26" t="s">
        <v>217</v>
      </c>
      <c r="D882" s="60" t="s">
        <v>211</v>
      </c>
      <c r="E882" s="60">
        <v>2</v>
      </c>
      <c r="F882" s="60" t="s">
        <v>1</v>
      </c>
      <c r="G882" s="72" t="s">
        <v>12</v>
      </c>
      <c r="H882" s="73">
        <v>14587755.857000001</v>
      </c>
      <c r="I882" s="74">
        <v>1</v>
      </c>
      <c r="J882" s="29">
        <v>20</v>
      </c>
      <c r="K882" s="29"/>
      <c r="L882" s="29"/>
      <c r="M882" s="29"/>
      <c r="N882" s="29"/>
      <c r="O882" s="29" t="s">
        <v>51</v>
      </c>
      <c r="P882" s="73">
        <f t="shared" si="65"/>
        <v>14587755.857000001</v>
      </c>
      <c r="Q882" s="75" t="s">
        <v>52</v>
      </c>
    </row>
    <row r="883" spans="1:20" x14ac:dyDescent="0.25">
      <c r="A883" s="26" t="s">
        <v>81</v>
      </c>
      <c r="B883" s="60" t="s">
        <v>15</v>
      </c>
      <c r="C883" s="26" t="s">
        <v>217</v>
      </c>
      <c r="D883" s="60" t="s">
        <v>212</v>
      </c>
      <c r="E883" s="60">
        <v>2</v>
      </c>
      <c r="F883" s="60" t="s">
        <v>1</v>
      </c>
      <c r="G883" s="72" t="s">
        <v>12</v>
      </c>
      <c r="H883" s="73">
        <v>14587755.857000001</v>
      </c>
      <c r="I883" s="74">
        <v>1</v>
      </c>
      <c r="J883" s="29">
        <v>30</v>
      </c>
      <c r="K883" s="29"/>
      <c r="L883" s="29"/>
      <c r="M883" s="29"/>
      <c r="N883" s="29"/>
      <c r="O883" s="29" t="s">
        <v>51</v>
      </c>
      <c r="P883" s="73">
        <f t="shared" si="65"/>
        <v>14587755.857000001</v>
      </c>
      <c r="Q883" s="75" t="s">
        <v>52</v>
      </c>
    </row>
    <row r="884" spans="1:20" x14ac:dyDescent="0.25">
      <c r="A884" s="26" t="s">
        <v>81</v>
      </c>
      <c r="B884" s="60" t="s">
        <v>15</v>
      </c>
      <c r="C884" s="26" t="s">
        <v>218</v>
      </c>
      <c r="D884" s="60" t="s">
        <v>222</v>
      </c>
      <c r="E884" s="60">
        <v>3</v>
      </c>
      <c r="F884" s="60" t="s">
        <v>1</v>
      </c>
      <c r="G884" s="72" t="s">
        <v>12</v>
      </c>
      <c r="H884" s="73">
        <v>17114241.47972</v>
      </c>
      <c r="I884" s="74">
        <v>1</v>
      </c>
      <c r="J884" s="29">
        <v>10</v>
      </c>
      <c r="K884" s="29"/>
      <c r="L884" s="29"/>
      <c r="M884" s="29"/>
      <c r="N884" s="29"/>
      <c r="O884" s="29" t="s">
        <v>51</v>
      </c>
      <c r="P884" s="73">
        <f t="shared" ref="P884" si="68">+I884*H884</f>
        <v>17114241.47972</v>
      </c>
      <c r="Q884" s="75" t="s">
        <v>52</v>
      </c>
    </row>
    <row r="885" spans="1:20" x14ac:dyDescent="0.25">
      <c r="A885" s="26" t="s">
        <v>81</v>
      </c>
      <c r="B885" s="60" t="s">
        <v>15</v>
      </c>
      <c r="C885" s="26" t="s">
        <v>218</v>
      </c>
      <c r="D885" s="60" t="s">
        <v>211</v>
      </c>
      <c r="E885" s="60">
        <v>3</v>
      </c>
      <c r="F885" s="60" t="s">
        <v>1</v>
      </c>
      <c r="G885" s="72" t="s">
        <v>12</v>
      </c>
      <c r="H885" s="73">
        <v>17114241.47972</v>
      </c>
      <c r="I885" s="74">
        <v>1</v>
      </c>
      <c r="J885" s="29">
        <v>20</v>
      </c>
      <c r="K885" s="29"/>
      <c r="L885" s="29"/>
      <c r="M885" s="29"/>
      <c r="N885" s="29"/>
      <c r="O885" s="29" t="s">
        <v>51</v>
      </c>
      <c r="P885" s="73">
        <f t="shared" si="65"/>
        <v>17114241.47972</v>
      </c>
      <c r="Q885" s="75" t="s">
        <v>52</v>
      </c>
    </row>
    <row r="886" spans="1:20" x14ac:dyDescent="0.25">
      <c r="A886" s="26" t="s">
        <v>81</v>
      </c>
      <c r="B886" s="60" t="s">
        <v>15</v>
      </c>
      <c r="C886" s="26" t="s">
        <v>218</v>
      </c>
      <c r="D886" s="60" t="s">
        <v>212</v>
      </c>
      <c r="E886" s="60">
        <v>3</v>
      </c>
      <c r="F886" s="60" t="s">
        <v>1</v>
      </c>
      <c r="G886" s="72" t="s">
        <v>12</v>
      </c>
      <c r="H886" s="73">
        <v>17114241.47972</v>
      </c>
      <c r="I886" s="74">
        <v>1</v>
      </c>
      <c r="J886" s="29">
        <v>30</v>
      </c>
      <c r="K886" s="29"/>
      <c r="L886" s="29"/>
      <c r="M886" s="29"/>
      <c r="N886" s="29"/>
      <c r="O886" s="29" t="s">
        <v>51</v>
      </c>
      <c r="P886" s="73">
        <f t="shared" si="65"/>
        <v>17114241.47972</v>
      </c>
      <c r="Q886" s="75" t="s">
        <v>52</v>
      </c>
    </row>
    <row r="887" spans="1:20" x14ac:dyDescent="0.25">
      <c r="A887" s="26" t="s">
        <v>81</v>
      </c>
      <c r="B887" s="60" t="s">
        <v>15</v>
      </c>
      <c r="C887" s="26" t="s">
        <v>228</v>
      </c>
      <c r="D887" s="60" t="s">
        <v>201</v>
      </c>
      <c r="E887" s="60"/>
      <c r="F887" s="60" t="s">
        <v>1</v>
      </c>
      <c r="G887" s="72" t="s">
        <v>12</v>
      </c>
      <c r="H887" s="38">
        <v>1375.43</v>
      </c>
      <c r="I887" s="74">
        <f t="shared" si="62"/>
        <v>4000</v>
      </c>
      <c r="J887" s="29">
        <v>1.2</v>
      </c>
      <c r="K887" s="29"/>
      <c r="L887" s="29"/>
      <c r="M887" s="29"/>
      <c r="N887" s="29"/>
      <c r="O887" s="29" t="s">
        <v>51</v>
      </c>
      <c r="P887" s="73">
        <f t="shared" si="65"/>
        <v>5501720</v>
      </c>
      <c r="Q887" s="75" t="s">
        <v>52</v>
      </c>
    </row>
    <row r="888" spans="1:20" x14ac:dyDescent="0.25">
      <c r="A888" s="26" t="s">
        <v>81</v>
      </c>
      <c r="B888" s="60" t="s">
        <v>15</v>
      </c>
      <c r="C888" s="26" t="s">
        <v>228</v>
      </c>
      <c r="D888" s="60" t="s">
        <v>202</v>
      </c>
      <c r="E888" s="60"/>
      <c r="F888" s="60" t="s">
        <v>1</v>
      </c>
      <c r="G888" s="72" t="s">
        <v>12</v>
      </c>
      <c r="H888" s="38">
        <v>1568</v>
      </c>
      <c r="I888" s="74">
        <f t="shared" si="62"/>
        <v>4000</v>
      </c>
      <c r="J888" s="29">
        <v>1.8</v>
      </c>
      <c r="K888" s="29"/>
      <c r="L888" s="29"/>
      <c r="M888" s="29"/>
      <c r="N888" s="29"/>
      <c r="O888" s="29" t="s">
        <v>51</v>
      </c>
      <c r="P888" s="73">
        <f t="shared" si="65"/>
        <v>6272000</v>
      </c>
      <c r="Q888" s="75" t="s">
        <v>52</v>
      </c>
    </row>
    <row r="889" spans="1:20" x14ac:dyDescent="0.25">
      <c r="A889" s="26" t="s">
        <v>81</v>
      </c>
      <c r="B889" s="60" t="s">
        <v>15</v>
      </c>
      <c r="C889" s="26" t="s">
        <v>228</v>
      </c>
      <c r="D889" s="60" t="s">
        <v>203</v>
      </c>
      <c r="E889" s="60"/>
      <c r="F889" s="60" t="s">
        <v>1</v>
      </c>
      <c r="G889" s="72" t="s">
        <v>12</v>
      </c>
      <c r="H889" s="38">
        <v>3702.44</v>
      </c>
      <c r="I889" s="74">
        <f t="shared" si="62"/>
        <v>4000</v>
      </c>
      <c r="J889" s="29">
        <v>2.4</v>
      </c>
      <c r="K889" s="29"/>
      <c r="L889" s="29"/>
      <c r="M889" s="29"/>
      <c r="N889" s="29"/>
      <c r="O889" s="29" t="s">
        <v>51</v>
      </c>
      <c r="P889" s="73">
        <f t="shared" si="65"/>
        <v>14809760</v>
      </c>
      <c r="Q889" s="75" t="s">
        <v>52</v>
      </c>
    </row>
    <row r="890" spans="1:20" x14ac:dyDescent="0.25">
      <c r="A890" s="26" t="s">
        <v>81</v>
      </c>
      <c r="B890" s="60" t="s">
        <v>15</v>
      </c>
      <c r="C890" s="26" t="s">
        <v>228</v>
      </c>
      <c r="D890" s="60" t="s">
        <v>204</v>
      </c>
      <c r="E890" s="60"/>
      <c r="F890" s="60" t="s">
        <v>1</v>
      </c>
      <c r="G890" s="72" t="s">
        <v>12</v>
      </c>
      <c r="H890" s="38">
        <v>5770.3672236503853</v>
      </c>
      <c r="I890" s="74">
        <f t="shared" si="62"/>
        <v>4000</v>
      </c>
      <c r="J890" s="29">
        <v>3.7</v>
      </c>
      <c r="K890" s="29"/>
      <c r="L890" s="29"/>
      <c r="M890" s="29"/>
      <c r="N890" s="29"/>
      <c r="O890" s="29" t="s">
        <v>51</v>
      </c>
      <c r="P890" s="73">
        <f t="shared" si="65"/>
        <v>23081468.894601543</v>
      </c>
      <c r="Q890" s="75" t="s">
        <v>52</v>
      </c>
    </row>
    <row r="891" spans="1:20" x14ac:dyDescent="0.25">
      <c r="A891" s="26" t="s">
        <v>81</v>
      </c>
      <c r="B891" s="60" t="s">
        <v>15</v>
      </c>
      <c r="C891" s="26" t="s">
        <v>229</v>
      </c>
      <c r="D891" s="26" t="s">
        <v>230</v>
      </c>
      <c r="E891" s="60"/>
      <c r="F891" s="60" t="s">
        <v>1</v>
      </c>
      <c r="G891" s="72" t="s">
        <v>12</v>
      </c>
      <c r="H891" s="38">
        <v>40652.36</v>
      </c>
      <c r="I891" s="74">
        <f t="shared" si="62"/>
        <v>4000</v>
      </c>
      <c r="J891" s="26" t="s">
        <v>230</v>
      </c>
      <c r="K891" s="29"/>
      <c r="L891" s="29"/>
      <c r="M891" s="29"/>
      <c r="N891" s="29"/>
      <c r="O891" s="29" t="s">
        <v>51</v>
      </c>
      <c r="P891" s="73">
        <f t="shared" ref="P891:P894" si="69">+I891*H891</f>
        <v>162609440</v>
      </c>
      <c r="Q891" s="75" t="s">
        <v>52</v>
      </c>
      <c r="S891">
        <v>44000000</v>
      </c>
      <c r="T891">
        <f>+S891/4000</f>
        <v>11000</v>
      </c>
    </row>
    <row r="892" spans="1:20" x14ac:dyDescent="0.25">
      <c r="A892" s="26" t="s">
        <v>81</v>
      </c>
      <c r="B892" s="60" t="s">
        <v>15</v>
      </c>
      <c r="C892" s="26" t="s">
        <v>229</v>
      </c>
      <c r="D892" s="26" t="s">
        <v>231</v>
      </c>
      <c r="E892" s="60"/>
      <c r="F892" s="60" t="s">
        <v>1</v>
      </c>
      <c r="G892" s="72" t="s">
        <v>12</v>
      </c>
      <c r="H892" s="38">
        <v>25166.399999999998</v>
      </c>
      <c r="I892" s="74">
        <f t="shared" si="62"/>
        <v>4000</v>
      </c>
      <c r="J892" s="26" t="s">
        <v>231</v>
      </c>
      <c r="K892" s="29"/>
      <c r="L892" s="29"/>
      <c r="M892" s="29"/>
      <c r="N892" s="29"/>
      <c r="O892" s="29" t="s">
        <v>51</v>
      </c>
      <c r="P892" s="73">
        <f t="shared" si="69"/>
        <v>100665599.99999999</v>
      </c>
      <c r="Q892" s="75" t="s">
        <v>52</v>
      </c>
    </row>
    <row r="893" spans="1:20" x14ac:dyDescent="0.25">
      <c r="A893" s="26" t="s">
        <v>81</v>
      </c>
      <c r="B893" s="60" t="s">
        <v>15</v>
      </c>
      <c r="C893" s="26" t="s">
        <v>229</v>
      </c>
      <c r="D893" s="26" t="s">
        <v>232</v>
      </c>
      <c r="E893" s="60"/>
      <c r="F893" s="60" t="s">
        <v>1</v>
      </c>
      <c r="G893" s="72" t="s">
        <v>12</v>
      </c>
      <c r="H893" s="38">
        <v>40652.36</v>
      </c>
      <c r="I893" s="74">
        <f t="shared" si="62"/>
        <v>4000</v>
      </c>
      <c r="J893" s="26" t="s">
        <v>232</v>
      </c>
      <c r="K893" s="29"/>
      <c r="L893" s="29"/>
      <c r="M893" s="29"/>
      <c r="N893" s="29"/>
      <c r="O893" s="29" t="s">
        <v>51</v>
      </c>
      <c r="P893" s="73">
        <f t="shared" si="69"/>
        <v>162609440</v>
      </c>
      <c r="Q893" s="75" t="s">
        <v>52</v>
      </c>
    </row>
    <row r="894" spans="1:20" x14ac:dyDescent="0.25">
      <c r="A894" s="26" t="s">
        <v>81</v>
      </c>
      <c r="B894" s="60" t="s">
        <v>15</v>
      </c>
      <c r="C894" s="26" t="s">
        <v>229</v>
      </c>
      <c r="D894" s="26" t="s">
        <v>233</v>
      </c>
      <c r="E894" s="60"/>
      <c r="F894" s="60" t="s">
        <v>1</v>
      </c>
      <c r="G894" s="72" t="s">
        <v>12</v>
      </c>
      <c r="H894" s="38">
        <v>25166.399999999998</v>
      </c>
      <c r="I894" s="74">
        <f t="shared" si="62"/>
        <v>4000</v>
      </c>
      <c r="J894" s="26" t="s">
        <v>233</v>
      </c>
      <c r="K894" s="29"/>
      <c r="L894" s="29"/>
      <c r="M894" s="29"/>
      <c r="N894" s="29"/>
      <c r="O894" s="29" t="s">
        <v>51</v>
      </c>
      <c r="P894" s="73">
        <f t="shared" si="69"/>
        <v>100665599.99999999</v>
      </c>
      <c r="Q894" s="75" t="s">
        <v>52</v>
      </c>
    </row>
    <row r="895" spans="1:20" x14ac:dyDescent="0.25">
      <c r="A895" s="26" t="s">
        <v>81</v>
      </c>
      <c r="B895" s="60" t="s">
        <v>15</v>
      </c>
      <c r="C895" s="60" t="s">
        <v>34</v>
      </c>
      <c r="D895" s="60" t="s">
        <v>5</v>
      </c>
      <c r="E895" s="60">
        <v>1</v>
      </c>
      <c r="F895" s="60" t="s">
        <v>7</v>
      </c>
      <c r="G895" s="72" t="s">
        <v>11</v>
      </c>
      <c r="H895" s="73">
        <v>2962915.8434979874</v>
      </c>
      <c r="I895" s="74">
        <v>1</v>
      </c>
      <c r="J895" s="29"/>
      <c r="K895" s="29"/>
      <c r="L895" s="29"/>
      <c r="M895" s="29"/>
      <c r="N895" s="29"/>
      <c r="O895" s="29" t="s">
        <v>51</v>
      </c>
      <c r="P895" s="73">
        <f t="shared" si="65"/>
        <v>2962915.8434979874</v>
      </c>
      <c r="Q895" s="75" t="s">
        <v>52</v>
      </c>
    </row>
    <row r="896" spans="1:20" x14ac:dyDescent="0.25">
      <c r="A896" s="26" t="s">
        <v>81</v>
      </c>
      <c r="B896" s="60" t="s">
        <v>15</v>
      </c>
      <c r="C896" s="60" t="s">
        <v>34</v>
      </c>
      <c r="D896" s="60" t="s">
        <v>6</v>
      </c>
      <c r="E896" s="60">
        <v>2</v>
      </c>
      <c r="F896" s="60" t="s">
        <v>7</v>
      </c>
      <c r="G896" s="72" t="s">
        <v>11</v>
      </c>
      <c r="H896" s="73">
        <v>3555499.0121975848</v>
      </c>
      <c r="I896" s="74">
        <v>1</v>
      </c>
      <c r="J896" s="29"/>
      <c r="K896" s="29"/>
      <c r="L896" s="29"/>
      <c r="M896" s="29"/>
      <c r="N896" s="29"/>
      <c r="O896" s="29" t="s">
        <v>51</v>
      </c>
      <c r="P896" s="73">
        <f t="shared" si="65"/>
        <v>3555499.0121975848</v>
      </c>
      <c r="Q896" s="75" t="s">
        <v>52</v>
      </c>
    </row>
    <row r="897" spans="1:19" x14ac:dyDescent="0.25">
      <c r="A897" s="26" t="s">
        <v>81</v>
      </c>
      <c r="B897" s="60" t="s">
        <v>15</v>
      </c>
      <c r="C897" s="60" t="s">
        <v>34</v>
      </c>
      <c r="D897" s="60" t="s">
        <v>16</v>
      </c>
      <c r="E897" s="60">
        <v>3</v>
      </c>
      <c r="F897" s="60" t="s">
        <v>7</v>
      </c>
      <c r="G897" s="72" t="s">
        <v>11</v>
      </c>
      <c r="H897" s="73">
        <v>6399898.2219556533</v>
      </c>
      <c r="I897" s="74">
        <v>1</v>
      </c>
      <c r="J897" s="29"/>
      <c r="K897" s="29"/>
      <c r="L897" s="29"/>
      <c r="M897" s="29"/>
      <c r="N897" s="29"/>
      <c r="O897" s="29" t="s">
        <v>51</v>
      </c>
      <c r="P897" s="73">
        <f t="shared" si="65"/>
        <v>6399898.2219556533</v>
      </c>
      <c r="Q897" s="75" t="s">
        <v>52</v>
      </c>
    </row>
    <row r="898" spans="1:19" x14ac:dyDescent="0.25">
      <c r="A898" s="26" t="s">
        <v>81</v>
      </c>
      <c r="B898" s="60" t="s">
        <v>15</v>
      </c>
      <c r="C898" s="60" t="s">
        <v>35</v>
      </c>
      <c r="D898" s="60" t="s">
        <v>5</v>
      </c>
      <c r="E898" s="60">
        <v>1</v>
      </c>
      <c r="F898" s="60" t="s">
        <v>7</v>
      </c>
      <c r="G898" s="72" t="s">
        <v>11</v>
      </c>
      <c r="H898" s="73">
        <v>1000000</v>
      </c>
      <c r="I898" s="74">
        <v>1</v>
      </c>
      <c r="J898" s="29"/>
      <c r="K898" s="29"/>
      <c r="L898" s="29"/>
      <c r="M898" s="29"/>
      <c r="N898" s="29"/>
      <c r="O898" s="29" t="s">
        <v>51</v>
      </c>
      <c r="P898" s="73">
        <f t="shared" si="65"/>
        <v>1000000</v>
      </c>
      <c r="Q898" s="75" t="s">
        <v>52</v>
      </c>
    </row>
    <row r="899" spans="1:19" x14ac:dyDescent="0.25">
      <c r="A899" s="26" t="s">
        <v>81</v>
      </c>
      <c r="B899" s="60" t="s">
        <v>15</v>
      </c>
      <c r="C899" s="60" t="s">
        <v>35</v>
      </c>
      <c r="D899" s="60" t="s">
        <v>6</v>
      </c>
      <c r="E899" s="60">
        <v>2</v>
      </c>
      <c r="F899" s="60" t="s">
        <v>7</v>
      </c>
      <c r="G899" s="72" t="s">
        <v>11</v>
      </c>
      <c r="H899" s="73">
        <v>1300000</v>
      </c>
      <c r="I899" s="74">
        <v>1</v>
      </c>
      <c r="J899" s="29"/>
      <c r="K899" s="29"/>
      <c r="L899" s="29"/>
      <c r="M899" s="29"/>
      <c r="N899" s="29"/>
      <c r="O899" s="29" t="s">
        <v>51</v>
      </c>
      <c r="P899" s="73">
        <f t="shared" si="65"/>
        <v>1300000</v>
      </c>
      <c r="Q899" s="75" t="s">
        <v>52</v>
      </c>
    </row>
    <row r="900" spans="1:19" x14ac:dyDescent="0.25">
      <c r="A900" s="26" t="s">
        <v>81</v>
      </c>
      <c r="B900" s="60" t="s">
        <v>15</v>
      </c>
      <c r="C900" s="60" t="s">
        <v>35</v>
      </c>
      <c r="D900" s="60" t="s">
        <v>16</v>
      </c>
      <c r="E900" s="60">
        <v>3</v>
      </c>
      <c r="F900" s="60" t="s">
        <v>7</v>
      </c>
      <c r="G900" s="72" t="s">
        <v>11</v>
      </c>
      <c r="H900" s="73">
        <v>2366000</v>
      </c>
      <c r="I900" s="74">
        <v>1</v>
      </c>
      <c r="J900" s="29"/>
      <c r="K900" s="29"/>
      <c r="L900" s="29"/>
      <c r="M900" s="29"/>
      <c r="N900" s="29"/>
      <c r="O900" s="29" t="s">
        <v>51</v>
      </c>
      <c r="P900" s="73">
        <f t="shared" si="65"/>
        <v>2366000</v>
      </c>
      <c r="Q900" s="75" t="s">
        <v>52</v>
      </c>
    </row>
    <row r="901" spans="1:19" x14ac:dyDescent="0.25">
      <c r="A901" s="26" t="s">
        <v>81</v>
      </c>
      <c r="B901" s="60" t="s">
        <v>15</v>
      </c>
      <c r="C901" s="60" t="s">
        <v>36</v>
      </c>
      <c r="D901" s="60" t="s">
        <v>5</v>
      </c>
      <c r="E901" s="60">
        <v>1</v>
      </c>
      <c r="F901" s="60" t="s">
        <v>7</v>
      </c>
      <c r="G901" s="72" t="s">
        <v>10</v>
      </c>
      <c r="H901" s="73">
        <v>3000000</v>
      </c>
      <c r="I901" s="74">
        <v>1</v>
      </c>
      <c r="J901" s="29"/>
      <c r="K901" s="29"/>
      <c r="L901" s="29"/>
      <c r="M901" s="29"/>
      <c r="N901" s="29"/>
      <c r="O901" s="29" t="s">
        <v>51</v>
      </c>
      <c r="P901" s="73">
        <f t="shared" si="65"/>
        <v>3000000</v>
      </c>
      <c r="Q901" s="75" t="s">
        <v>52</v>
      </c>
    </row>
    <row r="902" spans="1:19" x14ac:dyDescent="0.25">
      <c r="A902" s="26" t="s">
        <v>81</v>
      </c>
      <c r="B902" s="60" t="s">
        <v>15</v>
      </c>
      <c r="C902" s="60" t="s">
        <v>36</v>
      </c>
      <c r="D902" s="60" t="s">
        <v>6</v>
      </c>
      <c r="E902" s="60">
        <v>2</v>
      </c>
      <c r="F902" s="60" t="s">
        <v>7</v>
      </c>
      <c r="G902" s="72" t="s">
        <v>10</v>
      </c>
      <c r="H902" s="73">
        <v>3900000</v>
      </c>
      <c r="I902" s="74">
        <v>1</v>
      </c>
      <c r="J902" s="29"/>
      <c r="K902" s="29"/>
      <c r="L902" s="29"/>
      <c r="M902" s="29"/>
      <c r="N902" s="29"/>
      <c r="O902" s="29" t="s">
        <v>51</v>
      </c>
      <c r="P902" s="73">
        <f t="shared" si="65"/>
        <v>3900000</v>
      </c>
      <c r="Q902" s="75" t="s">
        <v>52</v>
      </c>
    </row>
    <row r="903" spans="1:19" x14ac:dyDescent="0.25">
      <c r="A903" s="26" t="s">
        <v>81</v>
      </c>
      <c r="B903" s="60" t="s">
        <v>15</v>
      </c>
      <c r="C903" s="60" t="s">
        <v>36</v>
      </c>
      <c r="D903" s="60" t="s">
        <v>16</v>
      </c>
      <c r="E903" s="60">
        <v>3</v>
      </c>
      <c r="F903" s="60" t="s">
        <v>7</v>
      </c>
      <c r="G903" s="72" t="s">
        <v>10</v>
      </c>
      <c r="H903" s="73">
        <v>7097999.9999999991</v>
      </c>
      <c r="I903" s="74">
        <v>1</v>
      </c>
      <c r="J903" s="29"/>
      <c r="K903" s="29"/>
      <c r="L903" s="29"/>
      <c r="M903" s="29"/>
      <c r="N903" s="29"/>
      <c r="O903" s="29" t="s">
        <v>51</v>
      </c>
      <c r="P903" s="73">
        <f t="shared" si="65"/>
        <v>7097999.9999999991</v>
      </c>
      <c r="Q903" s="75" t="s">
        <v>52</v>
      </c>
    </row>
    <row r="904" spans="1:19" x14ac:dyDescent="0.25">
      <c r="A904" s="26" t="s">
        <v>81</v>
      </c>
      <c r="B904" s="60" t="s">
        <v>15</v>
      </c>
      <c r="C904" s="60" t="s">
        <v>37</v>
      </c>
      <c r="D904" s="60" t="s">
        <v>5</v>
      </c>
      <c r="E904" s="60">
        <v>1</v>
      </c>
      <c r="F904" s="60" t="s">
        <v>7</v>
      </c>
      <c r="G904" s="72" t="s">
        <v>10</v>
      </c>
      <c r="H904" s="73">
        <v>2000000</v>
      </c>
      <c r="I904" s="74">
        <v>1</v>
      </c>
      <c r="J904" s="29"/>
      <c r="K904" s="29"/>
      <c r="L904" s="29"/>
      <c r="M904" s="29"/>
      <c r="N904" s="29"/>
      <c r="O904" s="29" t="s">
        <v>51</v>
      </c>
      <c r="P904" s="73">
        <f t="shared" si="65"/>
        <v>2000000</v>
      </c>
      <c r="Q904" s="75" t="s">
        <v>52</v>
      </c>
    </row>
    <row r="905" spans="1:19" x14ac:dyDescent="0.25">
      <c r="A905" s="26" t="s">
        <v>81</v>
      </c>
      <c r="B905" s="60" t="s">
        <v>15</v>
      </c>
      <c r="C905" s="60" t="s">
        <v>37</v>
      </c>
      <c r="D905" s="60" t="s">
        <v>6</v>
      </c>
      <c r="E905" s="60">
        <v>2</v>
      </c>
      <c r="F905" s="60" t="s">
        <v>7</v>
      </c>
      <c r="G905" s="72" t="s">
        <v>10</v>
      </c>
      <c r="H905" s="73">
        <v>2600000</v>
      </c>
      <c r="I905" s="74">
        <v>1</v>
      </c>
      <c r="J905" s="29"/>
      <c r="K905" s="29"/>
      <c r="L905" s="29"/>
      <c r="M905" s="29"/>
      <c r="N905" s="29"/>
      <c r="O905" s="29" t="s">
        <v>51</v>
      </c>
      <c r="P905" s="73">
        <f t="shared" si="65"/>
        <v>2600000</v>
      </c>
      <c r="Q905" s="75" t="s">
        <v>52</v>
      </c>
    </row>
    <row r="906" spans="1:19" x14ac:dyDescent="0.25">
      <c r="A906" s="26" t="s">
        <v>81</v>
      </c>
      <c r="B906" s="60" t="s">
        <v>15</v>
      </c>
      <c r="C906" s="60" t="s">
        <v>37</v>
      </c>
      <c r="D906" s="60" t="s">
        <v>16</v>
      </c>
      <c r="E906" s="60">
        <v>3</v>
      </c>
      <c r="F906" s="60" t="s">
        <v>7</v>
      </c>
      <c r="G906" s="72" t="s">
        <v>10</v>
      </c>
      <c r="H906" s="73">
        <v>4732000</v>
      </c>
      <c r="I906" s="74">
        <v>1</v>
      </c>
      <c r="J906" s="29"/>
      <c r="K906" s="29"/>
      <c r="L906" s="29"/>
      <c r="M906" s="29"/>
      <c r="N906" s="29"/>
      <c r="O906" s="29" t="s">
        <v>51</v>
      </c>
      <c r="P906" s="73">
        <f t="shared" si="65"/>
        <v>4732000</v>
      </c>
      <c r="Q906" s="75" t="s">
        <v>52</v>
      </c>
    </row>
    <row r="907" spans="1:19" x14ac:dyDescent="0.25">
      <c r="A907" s="26" t="s">
        <v>81</v>
      </c>
      <c r="B907" s="60" t="s">
        <v>15</v>
      </c>
      <c r="C907" s="60" t="s">
        <v>14</v>
      </c>
      <c r="D907" s="60" t="s">
        <v>322</v>
      </c>
      <c r="E907" s="60">
        <v>1</v>
      </c>
      <c r="F907" s="60" t="s">
        <v>1</v>
      </c>
      <c r="G907" s="72" t="s">
        <v>12</v>
      </c>
      <c r="H907" s="38">
        <v>10000</v>
      </c>
      <c r="I907" s="74">
        <f t="shared" ref="I907:I921" si="70">+TRM</f>
        <v>4000</v>
      </c>
      <c r="J907" s="29">
        <v>5</v>
      </c>
      <c r="K907" s="29"/>
      <c r="L907" s="29"/>
      <c r="M907" s="29"/>
      <c r="N907" s="29"/>
      <c r="O907" s="29" t="s">
        <v>51</v>
      </c>
      <c r="P907" s="73">
        <f>+I907*H907</f>
        <v>40000000</v>
      </c>
      <c r="Q907" s="75" t="s">
        <v>52</v>
      </c>
    </row>
    <row r="908" spans="1:19" x14ac:dyDescent="0.25">
      <c r="A908" s="26" t="s">
        <v>81</v>
      </c>
      <c r="B908" s="60" t="s">
        <v>15</v>
      </c>
      <c r="C908" s="60" t="s">
        <v>14</v>
      </c>
      <c r="D908" s="60" t="s">
        <v>323</v>
      </c>
      <c r="E908" s="60">
        <v>1</v>
      </c>
      <c r="F908" s="60" t="s">
        <v>1</v>
      </c>
      <c r="G908" s="72" t="s">
        <v>12</v>
      </c>
      <c r="H908" s="38">
        <v>15650.6</v>
      </c>
      <c r="I908" s="74">
        <f t="shared" si="70"/>
        <v>4000</v>
      </c>
      <c r="J908" s="29">
        <v>15</v>
      </c>
      <c r="K908" s="29"/>
      <c r="L908" s="29"/>
      <c r="M908" s="29"/>
      <c r="N908" s="29"/>
      <c r="O908" s="29" t="s">
        <v>51</v>
      </c>
      <c r="P908" s="73">
        <f>+I908*H908</f>
        <v>62602400</v>
      </c>
      <c r="Q908" s="75" t="s">
        <v>52</v>
      </c>
    </row>
    <row r="909" spans="1:19" x14ac:dyDescent="0.25">
      <c r="A909" s="26" t="s">
        <v>81</v>
      </c>
      <c r="B909" s="60" t="s">
        <v>15</v>
      </c>
      <c r="C909" s="60" t="s">
        <v>14</v>
      </c>
      <c r="D909" s="60" t="s">
        <v>324</v>
      </c>
      <c r="E909" s="60">
        <v>1</v>
      </c>
      <c r="F909" s="60" t="s">
        <v>1</v>
      </c>
      <c r="G909" s="72" t="s">
        <v>12</v>
      </c>
      <c r="H909" s="38">
        <v>16749.46</v>
      </c>
      <c r="I909" s="74">
        <f t="shared" si="70"/>
        <v>4000</v>
      </c>
      <c r="J909" s="29">
        <v>25</v>
      </c>
      <c r="K909" s="29"/>
      <c r="L909" s="29"/>
      <c r="M909" s="29"/>
      <c r="N909" s="29"/>
      <c r="O909" s="29" t="s">
        <v>51</v>
      </c>
      <c r="P909" s="73">
        <f t="shared" ref="P909" si="71">+I909*H909</f>
        <v>66997840</v>
      </c>
      <c r="Q909" s="75" t="s">
        <v>52</v>
      </c>
    </row>
    <row r="910" spans="1:19" x14ac:dyDescent="0.25">
      <c r="A910" s="26" t="s">
        <v>81</v>
      </c>
      <c r="B910" s="60" t="s">
        <v>15</v>
      </c>
      <c r="C910" s="60" t="s">
        <v>14</v>
      </c>
      <c r="D910" s="60" t="s">
        <v>325</v>
      </c>
      <c r="E910" s="60">
        <v>2</v>
      </c>
      <c r="F910" s="60" t="s">
        <v>1</v>
      </c>
      <c r="G910" s="72" t="s">
        <v>12</v>
      </c>
      <c r="H910" s="38">
        <v>10000</v>
      </c>
      <c r="I910" s="74">
        <f t="shared" si="70"/>
        <v>4000</v>
      </c>
      <c r="J910" s="29">
        <v>5</v>
      </c>
      <c r="K910" s="29"/>
      <c r="L910" s="29"/>
      <c r="M910" s="29"/>
      <c r="N910" s="29"/>
      <c r="O910" s="29" t="s">
        <v>51</v>
      </c>
      <c r="P910" s="73">
        <f t="shared" si="65"/>
        <v>40000000</v>
      </c>
      <c r="Q910" s="75" t="s">
        <v>52</v>
      </c>
      <c r="S910" s="56">
        <f>H910*1.1</f>
        <v>11000</v>
      </c>
    </row>
    <row r="911" spans="1:19" x14ac:dyDescent="0.25">
      <c r="A911" s="26" t="s">
        <v>81</v>
      </c>
      <c r="B911" s="60" t="s">
        <v>15</v>
      </c>
      <c r="C911" s="60" t="s">
        <v>14</v>
      </c>
      <c r="D911" s="60" t="s">
        <v>326</v>
      </c>
      <c r="E911" s="60">
        <v>2</v>
      </c>
      <c r="F911" s="60" t="s">
        <v>1</v>
      </c>
      <c r="G911" s="72" t="s">
        <v>12</v>
      </c>
      <c r="H911" s="38">
        <v>15650.6</v>
      </c>
      <c r="I911" s="74">
        <f t="shared" si="70"/>
        <v>4000</v>
      </c>
      <c r="J911" s="29">
        <v>15</v>
      </c>
      <c r="K911" s="29"/>
      <c r="L911" s="29"/>
      <c r="M911" s="29"/>
      <c r="N911" s="29"/>
      <c r="O911" s="29" t="s">
        <v>51</v>
      </c>
      <c r="P911" s="73">
        <f t="shared" si="65"/>
        <v>62602400</v>
      </c>
      <c r="Q911" s="75" t="s">
        <v>52</v>
      </c>
    </row>
    <row r="912" spans="1:19" x14ac:dyDescent="0.25">
      <c r="A912" s="26" t="s">
        <v>81</v>
      </c>
      <c r="B912" s="60" t="s">
        <v>15</v>
      </c>
      <c r="C912" s="60" t="s">
        <v>14</v>
      </c>
      <c r="D912" s="60" t="s">
        <v>327</v>
      </c>
      <c r="E912" s="60">
        <v>2</v>
      </c>
      <c r="F912" s="60" t="s">
        <v>1</v>
      </c>
      <c r="G912" s="72" t="s">
        <v>12</v>
      </c>
      <c r="H912" s="38">
        <v>16749.46</v>
      </c>
      <c r="I912" s="74">
        <f t="shared" si="70"/>
        <v>4000</v>
      </c>
      <c r="J912" s="29">
        <v>25</v>
      </c>
      <c r="K912" s="29"/>
      <c r="L912" s="29"/>
      <c r="M912" s="29"/>
      <c r="N912" s="29"/>
      <c r="O912" s="29" t="s">
        <v>51</v>
      </c>
      <c r="P912" s="73">
        <f t="shared" ref="P912" si="72">+I912*H912</f>
        <v>66997840</v>
      </c>
      <c r="Q912" s="75" t="s">
        <v>52</v>
      </c>
    </row>
    <row r="913" spans="1:22" x14ac:dyDescent="0.25">
      <c r="A913" s="26" t="s">
        <v>81</v>
      </c>
      <c r="B913" s="60" t="s">
        <v>15</v>
      </c>
      <c r="C913" s="60" t="s">
        <v>14</v>
      </c>
      <c r="D913" s="60" t="s">
        <v>328</v>
      </c>
      <c r="E913" s="60">
        <v>3</v>
      </c>
      <c r="F913" s="60" t="s">
        <v>1</v>
      </c>
      <c r="G913" s="72" t="s">
        <v>12</v>
      </c>
      <c r="H913" s="38">
        <v>10000</v>
      </c>
      <c r="I913" s="74">
        <f t="shared" si="70"/>
        <v>4000</v>
      </c>
      <c r="J913" s="29">
        <v>5</v>
      </c>
      <c r="K913" s="29"/>
      <c r="L913" s="29"/>
      <c r="M913" s="29"/>
      <c r="N913" s="29"/>
      <c r="O913" s="29" t="s">
        <v>51</v>
      </c>
      <c r="P913" s="73">
        <f t="shared" si="65"/>
        <v>40000000</v>
      </c>
      <c r="Q913" s="75" t="s">
        <v>52</v>
      </c>
      <c r="S913" s="56">
        <f>H912*1.1</f>
        <v>18424.405999999999</v>
      </c>
    </row>
    <row r="914" spans="1:22" x14ac:dyDescent="0.25">
      <c r="A914" s="26" t="s">
        <v>81</v>
      </c>
      <c r="B914" s="60" t="s">
        <v>15</v>
      </c>
      <c r="C914" s="60" t="s">
        <v>14</v>
      </c>
      <c r="D914" s="60" t="s">
        <v>329</v>
      </c>
      <c r="E914" s="60">
        <v>3</v>
      </c>
      <c r="F914" s="60" t="s">
        <v>1</v>
      </c>
      <c r="G914" s="72" t="s">
        <v>12</v>
      </c>
      <c r="H914" s="38">
        <v>15650.6</v>
      </c>
      <c r="I914" s="74">
        <f t="shared" si="70"/>
        <v>4000</v>
      </c>
      <c r="J914" s="29">
        <v>15</v>
      </c>
      <c r="K914" s="29"/>
      <c r="L914" s="29"/>
      <c r="M914" s="29"/>
      <c r="N914" s="29"/>
      <c r="O914" s="29" t="s">
        <v>51</v>
      </c>
      <c r="P914" s="73">
        <f t="shared" si="65"/>
        <v>62602400</v>
      </c>
      <c r="Q914" s="75" t="s">
        <v>52</v>
      </c>
    </row>
    <row r="915" spans="1:22" x14ac:dyDescent="0.25">
      <c r="A915" s="26" t="s">
        <v>81</v>
      </c>
      <c r="B915" s="60" t="s">
        <v>15</v>
      </c>
      <c r="C915" s="60" t="s">
        <v>14</v>
      </c>
      <c r="D915" s="60" t="s">
        <v>330</v>
      </c>
      <c r="E915" s="60">
        <v>3</v>
      </c>
      <c r="F915" s="60" t="s">
        <v>1</v>
      </c>
      <c r="G915" s="72" t="s">
        <v>12</v>
      </c>
      <c r="H915" s="38">
        <v>16749.46</v>
      </c>
      <c r="I915" s="74">
        <f t="shared" si="70"/>
        <v>4000</v>
      </c>
      <c r="J915" s="29">
        <v>25</v>
      </c>
      <c r="K915" s="29"/>
      <c r="L915" s="29"/>
      <c r="M915" s="29"/>
      <c r="N915" s="29"/>
      <c r="O915" s="29" t="s">
        <v>51</v>
      </c>
      <c r="P915" s="73">
        <f t="shared" ref="P915" si="73">+I915*H915</f>
        <v>66997840</v>
      </c>
      <c r="Q915" s="75" t="s">
        <v>52</v>
      </c>
    </row>
    <row r="916" spans="1:22" x14ac:dyDescent="0.25">
      <c r="A916" s="26" t="s">
        <v>81</v>
      </c>
      <c r="B916" s="60" t="s">
        <v>15</v>
      </c>
      <c r="C916" s="60" t="s">
        <v>38</v>
      </c>
      <c r="D916" s="60" t="s">
        <v>322</v>
      </c>
      <c r="E916" s="60">
        <v>1</v>
      </c>
      <c r="F916" s="60" t="s">
        <v>1</v>
      </c>
      <c r="G916" s="72" t="s">
        <v>12</v>
      </c>
      <c r="H916" s="38">
        <v>2548</v>
      </c>
      <c r="I916" s="74">
        <f t="shared" si="70"/>
        <v>4000</v>
      </c>
      <c r="J916" s="29">
        <v>5</v>
      </c>
      <c r="K916" s="29"/>
      <c r="L916" s="29"/>
      <c r="M916" s="29"/>
      <c r="N916" s="29"/>
      <c r="O916" s="29" t="s">
        <v>51</v>
      </c>
      <c r="P916" s="73">
        <f t="shared" si="65"/>
        <v>10192000</v>
      </c>
      <c r="Q916" s="75" t="s">
        <v>52</v>
      </c>
    </row>
    <row r="917" spans="1:22" x14ac:dyDescent="0.25">
      <c r="A917" s="26" t="s">
        <v>81</v>
      </c>
      <c r="B917" s="60" t="s">
        <v>15</v>
      </c>
      <c r="C917" s="60" t="s">
        <v>38</v>
      </c>
      <c r="D917" s="60" t="s">
        <v>323</v>
      </c>
      <c r="E917" s="60">
        <v>1</v>
      </c>
      <c r="F917" s="60" t="s">
        <v>1</v>
      </c>
      <c r="G917" s="72" t="s">
        <v>12</v>
      </c>
      <c r="H917" s="38">
        <v>3014.2857142857142</v>
      </c>
      <c r="I917" s="74">
        <f t="shared" si="70"/>
        <v>4000</v>
      </c>
      <c r="J917" s="29">
        <v>15</v>
      </c>
      <c r="K917" s="29"/>
      <c r="L917" s="29"/>
      <c r="M917" s="29"/>
      <c r="N917" s="29"/>
      <c r="O917" s="29" t="s">
        <v>51</v>
      </c>
      <c r="P917" s="73">
        <f t="shared" si="65"/>
        <v>12057142.857142856</v>
      </c>
      <c r="Q917" s="75" t="s">
        <v>52</v>
      </c>
    </row>
    <row r="918" spans="1:22" x14ac:dyDescent="0.25">
      <c r="A918" s="26" t="s">
        <v>81</v>
      </c>
      <c r="B918" s="60" t="s">
        <v>15</v>
      </c>
      <c r="C918" s="60" t="s">
        <v>38</v>
      </c>
      <c r="D918" s="60" t="s">
        <v>325</v>
      </c>
      <c r="E918" s="60">
        <v>2</v>
      </c>
      <c r="F918" s="60" t="s">
        <v>1</v>
      </c>
      <c r="G918" s="72" t="s">
        <v>12</v>
      </c>
      <c r="H918" s="38">
        <v>2548</v>
      </c>
      <c r="I918" s="74">
        <f t="shared" si="70"/>
        <v>4000</v>
      </c>
      <c r="J918" s="29">
        <v>5</v>
      </c>
      <c r="K918" s="29"/>
      <c r="L918" s="29"/>
      <c r="M918" s="29"/>
      <c r="N918" s="29"/>
      <c r="O918" s="29" t="s">
        <v>51</v>
      </c>
      <c r="P918" s="73">
        <f t="shared" si="65"/>
        <v>10192000</v>
      </c>
      <c r="Q918" s="75" t="s">
        <v>52</v>
      </c>
      <c r="S918" s="56">
        <f>H920*1.1</f>
        <v>2802.8</v>
      </c>
    </row>
    <row r="919" spans="1:22" x14ac:dyDescent="0.25">
      <c r="A919" s="26" t="s">
        <v>81</v>
      </c>
      <c r="B919" s="60" t="s">
        <v>15</v>
      </c>
      <c r="C919" s="60" t="s">
        <v>38</v>
      </c>
      <c r="D919" s="60" t="s">
        <v>326</v>
      </c>
      <c r="E919" s="60">
        <v>2</v>
      </c>
      <c r="F919" s="60" t="s">
        <v>1</v>
      </c>
      <c r="G919" s="72" t="s">
        <v>12</v>
      </c>
      <c r="H919" s="38">
        <v>3014.2857142857142</v>
      </c>
      <c r="I919" s="74">
        <f t="shared" si="70"/>
        <v>4000</v>
      </c>
      <c r="J919" s="29">
        <v>15</v>
      </c>
      <c r="K919" s="29"/>
      <c r="L919" s="29"/>
      <c r="M919" s="29"/>
      <c r="N919" s="29"/>
      <c r="O919" s="29" t="s">
        <v>51</v>
      </c>
      <c r="P919" s="73">
        <f t="shared" si="65"/>
        <v>12057142.857142856</v>
      </c>
      <c r="Q919" s="75" t="s">
        <v>52</v>
      </c>
    </row>
    <row r="920" spans="1:22" x14ac:dyDescent="0.25">
      <c r="A920" s="26" t="s">
        <v>81</v>
      </c>
      <c r="B920" s="60" t="s">
        <v>15</v>
      </c>
      <c r="C920" s="60" t="s">
        <v>38</v>
      </c>
      <c r="D920" s="60" t="s">
        <v>328</v>
      </c>
      <c r="E920" s="60">
        <v>3</v>
      </c>
      <c r="F920" s="60" t="s">
        <v>1</v>
      </c>
      <c r="G920" s="72" t="s">
        <v>12</v>
      </c>
      <c r="H920" s="38">
        <v>2548</v>
      </c>
      <c r="I920" s="74">
        <f t="shared" si="70"/>
        <v>4000</v>
      </c>
      <c r="J920" s="29">
        <v>5</v>
      </c>
      <c r="K920" s="29"/>
      <c r="L920" s="29"/>
      <c r="M920" s="29"/>
      <c r="N920" s="29"/>
      <c r="O920" s="29" t="s">
        <v>51</v>
      </c>
      <c r="P920" s="73">
        <f t="shared" si="65"/>
        <v>10192000</v>
      </c>
      <c r="Q920" s="75" t="s">
        <v>52</v>
      </c>
    </row>
    <row r="921" spans="1:22" x14ac:dyDescent="0.25">
      <c r="A921" s="26" t="s">
        <v>81</v>
      </c>
      <c r="B921" s="60" t="s">
        <v>15</v>
      </c>
      <c r="C921" s="60" t="s">
        <v>38</v>
      </c>
      <c r="D921" s="60" t="s">
        <v>329</v>
      </c>
      <c r="E921" s="60">
        <v>3</v>
      </c>
      <c r="F921" s="60" t="s">
        <v>1</v>
      </c>
      <c r="G921" s="72" t="s">
        <v>12</v>
      </c>
      <c r="H921" s="38">
        <v>3014.2857142857142</v>
      </c>
      <c r="I921" s="74">
        <f t="shared" si="70"/>
        <v>4000</v>
      </c>
      <c r="J921" s="29">
        <v>15</v>
      </c>
      <c r="K921" s="29"/>
      <c r="L921" s="29"/>
      <c r="M921" s="29"/>
      <c r="N921" s="29"/>
      <c r="O921" s="29" t="s">
        <v>51</v>
      </c>
      <c r="P921" s="73">
        <f t="shared" si="65"/>
        <v>12057142.857142856</v>
      </c>
      <c r="Q921" s="75" t="s">
        <v>52</v>
      </c>
    </row>
    <row r="922" spans="1:22" s="35" customFormat="1" x14ac:dyDescent="0.25">
      <c r="A922" s="26" t="s">
        <v>81</v>
      </c>
      <c r="B922" s="60" t="s">
        <v>15</v>
      </c>
      <c r="C922" s="60" t="s">
        <v>39</v>
      </c>
      <c r="D922" s="60" t="s">
        <v>277</v>
      </c>
      <c r="E922" s="60">
        <v>1</v>
      </c>
      <c r="F922" s="60" t="s">
        <v>7</v>
      </c>
      <c r="G922" s="72" t="s">
        <v>11</v>
      </c>
      <c r="H922" s="73">
        <v>2767562</v>
      </c>
      <c r="I922" s="61">
        <v>1</v>
      </c>
      <c r="J922" s="77">
        <v>15</v>
      </c>
      <c r="K922" s="77"/>
      <c r="L922" s="77"/>
      <c r="M922" s="77"/>
      <c r="N922" s="77"/>
      <c r="O922" s="29" t="s">
        <v>51</v>
      </c>
      <c r="P922" s="73">
        <f t="shared" si="65"/>
        <v>2767562</v>
      </c>
      <c r="Q922" s="78" t="s">
        <v>52</v>
      </c>
      <c r="R922"/>
      <c r="U922"/>
      <c r="V922"/>
    </row>
    <row r="923" spans="1:22" x14ac:dyDescent="0.25">
      <c r="A923" s="26" t="s">
        <v>81</v>
      </c>
      <c r="B923" s="60" t="s">
        <v>15</v>
      </c>
      <c r="C923" s="60" t="s">
        <v>39</v>
      </c>
      <c r="D923" s="60" t="s">
        <v>274</v>
      </c>
      <c r="E923" s="60">
        <v>1</v>
      </c>
      <c r="F923" s="60" t="s">
        <v>7</v>
      </c>
      <c r="G923" s="72" t="s">
        <v>11</v>
      </c>
      <c r="H923" s="73">
        <v>2767562</v>
      </c>
      <c r="I923" s="74">
        <v>1</v>
      </c>
      <c r="J923" s="29">
        <v>25</v>
      </c>
      <c r="K923" s="29"/>
      <c r="L923" s="29"/>
      <c r="M923" s="29"/>
      <c r="N923" s="29"/>
      <c r="O923" s="29" t="s">
        <v>51</v>
      </c>
      <c r="P923" s="73">
        <f t="shared" si="65"/>
        <v>2767562</v>
      </c>
      <c r="Q923" s="75" t="s">
        <v>52</v>
      </c>
    </row>
    <row r="924" spans="1:22" x14ac:dyDescent="0.25">
      <c r="A924" s="26" t="s">
        <v>81</v>
      </c>
      <c r="B924" s="60" t="s">
        <v>15</v>
      </c>
      <c r="C924" s="60" t="s">
        <v>39</v>
      </c>
      <c r="D924" s="60" t="s">
        <v>278</v>
      </c>
      <c r="E924" s="60">
        <v>2</v>
      </c>
      <c r="F924" s="60" t="s">
        <v>7</v>
      </c>
      <c r="G924" s="72" t="s">
        <v>11</v>
      </c>
      <c r="H924" s="73">
        <v>2806562</v>
      </c>
      <c r="I924" s="74">
        <v>1</v>
      </c>
      <c r="J924" s="77">
        <v>15</v>
      </c>
      <c r="K924" s="29"/>
      <c r="L924" s="29"/>
      <c r="M924" s="29"/>
      <c r="N924" s="29"/>
      <c r="O924" s="29" t="s">
        <v>51</v>
      </c>
      <c r="P924" s="73">
        <f t="shared" si="65"/>
        <v>2806562</v>
      </c>
      <c r="Q924" s="75" t="s">
        <v>52</v>
      </c>
    </row>
    <row r="925" spans="1:22" x14ac:dyDescent="0.25">
      <c r="A925" s="26" t="s">
        <v>81</v>
      </c>
      <c r="B925" s="60" t="s">
        <v>15</v>
      </c>
      <c r="C925" s="60" t="s">
        <v>39</v>
      </c>
      <c r="D925" s="60" t="s">
        <v>275</v>
      </c>
      <c r="E925" s="60">
        <v>2</v>
      </c>
      <c r="F925" s="60" t="s">
        <v>7</v>
      </c>
      <c r="G925" s="72" t="s">
        <v>11</v>
      </c>
      <c r="H925" s="73">
        <v>2806562</v>
      </c>
      <c r="I925" s="74">
        <v>1</v>
      </c>
      <c r="J925" s="29">
        <v>25</v>
      </c>
      <c r="K925" s="29"/>
      <c r="L925" s="29"/>
      <c r="M925" s="29"/>
      <c r="N925" s="29"/>
      <c r="O925" s="29" t="s">
        <v>51</v>
      </c>
      <c r="P925" s="73">
        <f t="shared" si="65"/>
        <v>2806562</v>
      </c>
      <c r="Q925" s="75" t="s">
        <v>52</v>
      </c>
    </row>
    <row r="926" spans="1:22" x14ac:dyDescent="0.25">
      <c r="A926" s="26" t="s">
        <v>81</v>
      </c>
      <c r="B926" s="60" t="s">
        <v>15</v>
      </c>
      <c r="C926" s="60" t="s">
        <v>39</v>
      </c>
      <c r="D926" s="60" t="s">
        <v>279</v>
      </c>
      <c r="E926" s="60">
        <v>3</v>
      </c>
      <c r="F926" s="60" t="s">
        <v>7</v>
      </c>
      <c r="G926" s="72" t="s">
        <v>11</v>
      </c>
      <c r="H926" s="73">
        <v>4743079.1503957789</v>
      </c>
      <c r="I926" s="74">
        <v>1</v>
      </c>
      <c r="J926" s="77">
        <v>15</v>
      </c>
      <c r="K926" s="29"/>
      <c r="L926" s="29"/>
      <c r="M926" s="29"/>
      <c r="N926" s="29"/>
      <c r="O926" s="29" t="s">
        <v>51</v>
      </c>
      <c r="P926" s="73">
        <f t="shared" si="65"/>
        <v>4743079.1503957789</v>
      </c>
      <c r="Q926" s="75" t="s">
        <v>52</v>
      </c>
    </row>
    <row r="927" spans="1:22" x14ac:dyDescent="0.25">
      <c r="A927" s="26" t="s">
        <v>81</v>
      </c>
      <c r="B927" s="60" t="s">
        <v>15</v>
      </c>
      <c r="C927" s="60" t="s">
        <v>39</v>
      </c>
      <c r="D927" s="60" t="s">
        <v>276</v>
      </c>
      <c r="E927" s="60">
        <v>3</v>
      </c>
      <c r="F927" s="60" t="s">
        <v>7</v>
      </c>
      <c r="G927" s="72" t="s">
        <v>11</v>
      </c>
      <c r="H927" s="73">
        <v>4743079.1503957789</v>
      </c>
      <c r="I927" s="74">
        <v>1</v>
      </c>
      <c r="J927" s="29">
        <v>25</v>
      </c>
      <c r="K927" s="29"/>
      <c r="L927" s="29"/>
      <c r="M927" s="29"/>
      <c r="N927" s="29"/>
      <c r="O927" s="29" t="s">
        <v>51</v>
      </c>
      <c r="P927" s="73">
        <f t="shared" si="65"/>
        <v>4743079.1503957789</v>
      </c>
      <c r="Q927" s="75" t="s">
        <v>52</v>
      </c>
    </row>
    <row r="928" spans="1:22" x14ac:dyDescent="0.25">
      <c r="A928" s="26" t="s">
        <v>81</v>
      </c>
      <c r="B928" s="60" t="s">
        <v>15</v>
      </c>
      <c r="C928" s="60" t="s">
        <v>40</v>
      </c>
      <c r="D928" s="60" t="s">
        <v>277</v>
      </c>
      <c r="E928" s="60">
        <v>1</v>
      </c>
      <c r="F928" s="60" t="s">
        <v>7</v>
      </c>
      <c r="G928" s="72" t="s">
        <v>11</v>
      </c>
      <c r="H928" s="73">
        <v>300000</v>
      </c>
      <c r="I928" s="74">
        <v>1</v>
      </c>
      <c r="J928" s="77">
        <v>15</v>
      </c>
      <c r="K928" s="29"/>
      <c r="L928" s="29"/>
      <c r="M928" s="29"/>
      <c r="N928" s="29"/>
      <c r="O928" s="29" t="s">
        <v>51</v>
      </c>
      <c r="P928" s="73">
        <f t="shared" si="65"/>
        <v>300000</v>
      </c>
      <c r="Q928" s="75" t="s">
        <v>52</v>
      </c>
    </row>
    <row r="929" spans="1:17" x14ac:dyDescent="0.25">
      <c r="A929" s="26" t="s">
        <v>81</v>
      </c>
      <c r="B929" s="60" t="s">
        <v>15</v>
      </c>
      <c r="C929" s="60" t="s">
        <v>40</v>
      </c>
      <c r="D929" s="60" t="s">
        <v>274</v>
      </c>
      <c r="E929" s="60">
        <v>1</v>
      </c>
      <c r="F929" s="60" t="s">
        <v>7</v>
      </c>
      <c r="G929" s="72" t="s">
        <v>11</v>
      </c>
      <c r="H929" s="73">
        <v>300000</v>
      </c>
      <c r="I929" s="74">
        <v>1</v>
      </c>
      <c r="J929" s="29">
        <v>25</v>
      </c>
      <c r="K929" s="29"/>
      <c r="L929" s="29"/>
      <c r="M929" s="29"/>
      <c r="N929" s="29"/>
      <c r="O929" s="29" t="s">
        <v>51</v>
      </c>
      <c r="P929" s="73">
        <f t="shared" si="65"/>
        <v>300000</v>
      </c>
      <c r="Q929" s="75" t="s">
        <v>52</v>
      </c>
    </row>
    <row r="930" spans="1:17" x14ac:dyDescent="0.25">
      <c r="A930" s="26" t="s">
        <v>81</v>
      </c>
      <c r="B930" s="60" t="s">
        <v>15</v>
      </c>
      <c r="C930" s="60" t="s">
        <v>40</v>
      </c>
      <c r="D930" s="60" t="s">
        <v>278</v>
      </c>
      <c r="E930" s="60">
        <v>2</v>
      </c>
      <c r="F930" s="60" t="s">
        <v>7</v>
      </c>
      <c r="G930" s="72" t="s">
        <v>11</v>
      </c>
      <c r="H930" s="73">
        <v>390000</v>
      </c>
      <c r="I930" s="74">
        <v>1</v>
      </c>
      <c r="J930" s="77">
        <v>15</v>
      </c>
      <c r="K930" s="29"/>
      <c r="L930" s="29"/>
      <c r="M930" s="29"/>
      <c r="N930" s="29"/>
      <c r="O930" s="29" t="s">
        <v>51</v>
      </c>
      <c r="P930" s="73">
        <f t="shared" si="65"/>
        <v>390000</v>
      </c>
      <c r="Q930" s="75" t="s">
        <v>52</v>
      </c>
    </row>
    <row r="931" spans="1:17" x14ac:dyDescent="0.25">
      <c r="A931" s="26" t="s">
        <v>81</v>
      </c>
      <c r="B931" s="60" t="s">
        <v>15</v>
      </c>
      <c r="C931" s="60" t="s">
        <v>40</v>
      </c>
      <c r="D931" s="60" t="s">
        <v>275</v>
      </c>
      <c r="E931" s="60">
        <v>2</v>
      </c>
      <c r="F931" s="60" t="s">
        <v>7</v>
      </c>
      <c r="G931" s="72" t="s">
        <v>11</v>
      </c>
      <c r="H931" s="73">
        <v>390000</v>
      </c>
      <c r="I931" s="74">
        <v>1</v>
      </c>
      <c r="J931" s="29">
        <v>25</v>
      </c>
      <c r="K931" s="29"/>
      <c r="L931" s="29"/>
      <c r="M931" s="29"/>
      <c r="N931" s="29"/>
      <c r="O931" s="29" t="s">
        <v>51</v>
      </c>
      <c r="P931" s="73">
        <f t="shared" si="65"/>
        <v>390000</v>
      </c>
      <c r="Q931" s="75" t="s">
        <v>52</v>
      </c>
    </row>
    <row r="932" spans="1:17" x14ac:dyDescent="0.25">
      <c r="A932" s="26" t="s">
        <v>81</v>
      </c>
      <c r="B932" s="60" t="s">
        <v>15</v>
      </c>
      <c r="C932" s="60" t="s">
        <v>40</v>
      </c>
      <c r="D932" s="60" t="s">
        <v>279</v>
      </c>
      <c r="E932" s="60">
        <v>3</v>
      </c>
      <c r="F932" s="60" t="s">
        <v>7</v>
      </c>
      <c r="G932" s="72" t="s">
        <v>11</v>
      </c>
      <c r="H932" s="73">
        <v>709799.99999999988</v>
      </c>
      <c r="I932" s="74">
        <v>1</v>
      </c>
      <c r="J932" s="77">
        <v>15</v>
      </c>
      <c r="K932" s="29"/>
      <c r="L932" s="29"/>
      <c r="M932" s="29"/>
      <c r="N932" s="29"/>
      <c r="O932" s="29" t="s">
        <v>51</v>
      </c>
      <c r="P932" s="73">
        <f t="shared" si="65"/>
        <v>709799.99999999988</v>
      </c>
      <c r="Q932" s="75" t="s">
        <v>52</v>
      </c>
    </row>
    <row r="933" spans="1:17" x14ac:dyDescent="0.25">
      <c r="A933" s="26" t="s">
        <v>81</v>
      </c>
      <c r="B933" s="60" t="s">
        <v>15</v>
      </c>
      <c r="C933" s="60" t="s">
        <v>40</v>
      </c>
      <c r="D933" s="60" t="s">
        <v>276</v>
      </c>
      <c r="E933" s="60">
        <v>3</v>
      </c>
      <c r="F933" s="60" t="s">
        <v>7</v>
      </c>
      <c r="G933" s="72" t="s">
        <v>11</v>
      </c>
      <c r="H933" s="73">
        <v>709799.99999999988</v>
      </c>
      <c r="I933" s="74">
        <v>1</v>
      </c>
      <c r="J933" s="29">
        <v>25</v>
      </c>
      <c r="K933" s="29"/>
      <c r="L933" s="29"/>
      <c r="M933" s="29"/>
      <c r="N933" s="29"/>
      <c r="O933" s="29" t="s">
        <v>51</v>
      </c>
      <c r="P933" s="73">
        <f t="shared" si="65"/>
        <v>709799.99999999988</v>
      </c>
      <c r="Q933" s="75" t="s">
        <v>52</v>
      </c>
    </row>
    <row r="934" spans="1:17" x14ac:dyDescent="0.25">
      <c r="A934" s="26" t="s">
        <v>81</v>
      </c>
      <c r="B934" s="60" t="s">
        <v>15</v>
      </c>
      <c r="C934" s="60" t="s">
        <v>41</v>
      </c>
      <c r="D934" s="60" t="s">
        <v>277</v>
      </c>
      <c r="E934" s="60">
        <v>1</v>
      </c>
      <c r="F934" s="60" t="s">
        <v>7</v>
      </c>
      <c r="G934" s="72" t="s">
        <v>10</v>
      </c>
      <c r="H934" s="73">
        <v>1212899.1954691075</v>
      </c>
      <c r="I934" s="74">
        <v>1</v>
      </c>
      <c r="J934" s="77">
        <v>15</v>
      </c>
      <c r="K934" s="29"/>
      <c r="L934" s="29"/>
      <c r="M934" s="29"/>
      <c r="N934" s="29"/>
      <c r="O934" s="29" t="s">
        <v>51</v>
      </c>
      <c r="P934" s="73">
        <f t="shared" ref="P934:P952" si="74">+I934*H934</f>
        <v>1212899.1954691075</v>
      </c>
      <c r="Q934" s="75" t="s">
        <v>52</v>
      </c>
    </row>
    <row r="935" spans="1:17" x14ac:dyDescent="0.25">
      <c r="A935" s="26" t="s">
        <v>81</v>
      </c>
      <c r="B935" s="60" t="s">
        <v>15</v>
      </c>
      <c r="C935" s="60" t="s">
        <v>41</v>
      </c>
      <c r="D935" s="60" t="s">
        <v>274</v>
      </c>
      <c r="E935" s="60">
        <v>1</v>
      </c>
      <c r="F935" s="60" t="s">
        <v>7</v>
      </c>
      <c r="G935" s="72" t="s">
        <v>10</v>
      </c>
      <c r="H935" s="73">
        <v>1212899.1954691075</v>
      </c>
      <c r="I935" s="74">
        <v>1</v>
      </c>
      <c r="J935" s="29">
        <v>25</v>
      </c>
      <c r="K935" s="29"/>
      <c r="L935" s="29"/>
      <c r="M935" s="29"/>
      <c r="N935" s="29"/>
      <c r="O935" s="29" t="s">
        <v>51</v>
      </c>
      <c r="P935" s="73">
        <f t="shared" si="74"/>
        <v>1212899.1954691075</v>
      </c>
      <c r="Q935" s="75" t="s">
        <v>52</v>
      </c>
    </row>
    <row r="936" spans="1:17" x14ac:dyDescent="0.25">
      <c r="A936" s="26" t="s">
        <v>81</v>
      </c>
      <c r="B936" s="60" t="s">
        <v>15</v>
      </c>
      <c r="C936" s="60" t="s">
        <v>41</v>
      </c>
      <c r="D936" s="60" t="s">
        <v>278</v>
      </c>
      <c r="E936" s="60">
        <v>2</v>
      </c>
      <c r="F936" s="60" t="s">
        <v>7</v>
      </c>
      <c r="G936" s="72" t="s">
        <v>10</v>
      </c>
      <c r="H936" s="73">
        <v>873563.66568914952</v>
      </c>
      <c r="I936" s="74">
        <v>1</v>
      </c>
      <c r="J936" s="77">
        <v>15</v>
      </c>
      <c r="K936" s="29"/>
      <c r="L936" s="29"/>
      <c r="M936" s="29"/>
      <c r="N936" s="29"/>
      <c r="O936" s="29" t="s">
        <v>51</v>
      </c>
      <c r="P936" s="73">
        <f t="shared" si="74"/>
        <v>873563.66568914952</v>
      </c>
      <c r="Q936" s="75" t="s">
        <v>52</v>
      </c>
    </row>
    <row r="937" spans="1:17" x14ac:dyDescent="0.25">
      <c r="A937" s="26" t="s">
        <v>81</v>
      </c>
      <c r="B937" s="60" t="s">
        <v>15</v>
      </c>
      <c r="C937" s="60" t="s">
        <v>41</v>
      </c>
      <c r="D937" s="60" t="s">
        <v>275</v>
      </c>
      <c r="E937" s="60">
        <v>2</v>
      </c>
      <c r="F937" s="60" t="s">
        <v>7</v>
      </c>
      <c r="G937" s="72" t="s">
        <v>10</v>
      </c>
      <c r="H937" s="73">
        <v>873563.66568914952</v>
      </c>
      <c r="I937" s="74">
        <v>1</v>
      </c>
      <c r="J937" s="29">
        <v>25</v>
      </c>
      <c r="K937" s="29"/>
      <c r="L937" s="29"/>
      <c r="M937" s="29"/>
      <c r="N937" s="29"/>
      <c r="O937" s="29" t="s">
        <v>51</v>
      </c>
      <c r="P937" s="73">
        <f t="shared" si="74"/>
        <v>873563.66568914952</v>
      </c>
      <c r="Q937" s="75" t="s">
        <v>52</v>
      </c>
    </row>
    <row r="938" spans="1:17" x14ac:dyDescent="0.25">
      <c r="A938" s="26" t="s">
        <v>81</v>
      </c>
      <c r="B938" s="60" t="s">
        <v>15</v>
      </c>
      <c r="C938" s="60" t="s">
        <v>41</v>
      </c>
      <c r="D938" s="60" t="s">
        <v>279</v>
      </c>
      <c r="E938" s="60">
        <v>3</v>
      </c>
      <c r="F938" s="60" t="s">
        <v>7</v>
      </c>
      <c r="G938" s="72" t="s">
        <v>10</v>
      </c>
      <c r="H938" s="73">
        <v>3629396.8161829375</v>
      </c>
      <c r="I938" s="74">
        <v>1</v>
      </c>
      <c r="J938" s="77">
        <v>15</v>
      </c>
      <c r="K938" s="29"/>
      <c r="L938" s="29"/>
      <c r="M938" s="29"/>
      <c r="N938" s="29"/>
      <c r="O938" s="29" t="s">
        <v>51</v>
      </c>
      <c r="P938" s="73">
        <f t="shared" si="74"/>
        <v>3629396.8161829375</v>
      </c>
      <c r="Q938" s="75" t="s">
        <v>52</v>
      </c>
    </row>
    <row r="939" spans="1:17" x14ac:dyDescent="0.25">
      <c r="A939" s="26" t="s">
        <v>81</v>
      </c>
      <c r="B939" s="60" t="s">
        <v>15</v>
      </c>
      <c r="C939" s="60" t="s">
        <v>41</v>
      </c>
      <c r="D939" s="60" t="s">
        <v>276</v>
      </c>
      <c r="E939" s="60">
        <v>3</v>
      </c>
      <c r="F939" s="60" t="s">
        <v>7</v>
      </c>
      <c r="G939" s="72" t="s">
        <v>10</v>
      </c>
      <c r="H939" s="73">
        <v>3629396.8161829375</v>
      </c>
      <c r="I939" s="74">
        <v>1</v>
      </c>
      <c r="J939" s="29">
        <v>25</v>
      </c>
      <c r="K939" s="29"/>
      <c r="L939" s="29"/>
      <c r="M939" s="29"/>
      <c r="N939" s="29"/>
      <c r="O939" s="29" t="s">
        <v>51</v>
      </c>
      <c r="P939" s="73">
        <f t="shared" si="74"/>
        <v>3629396.8161829375</v>
      </c>
      <c r="Q939" s="75" t="s">
        <v>52</v>
      </c>
    </row>
    <row r="940" spans="1:17" x14ac:dyDescent="0.25">
      <c r="A940" s="26" t="s">
        <v>81</v>
      </c>
      <c r="B940" s="60" t="s">
        <v>15</v>
      </c>
      <c r="C940" s="60" t="s">
        <v>42</v>
      </c>
      <c r="D940" s="60" t="s">
        <v>277</v>
      </c>
      <c r="E940" s="60">
        <v>1</v>
      </c>
      <c r="F940" s="60" t="s">
        <v>7</v>
      </c>
      <c r="G940" s="72" t="s">
        <v>10</v>
      </c>
      <c r="H940" s="73">
        <v>1000000</v>
      </c>
      <c r="I940" s="74">
        <v>1</v>
      </c>
      <c r="J940" s="77">
        <v>15</v>
      </c>
      <c r="K940" s="29"/>
      <c r="L940" s="29"/>
      <c r="M940" s="29"/>
      <c r="N940" s="29"/>
      <c r="O940" s="29" t="s">
        <v>51</v>
      </c>
      <c r="P940" s="73">
        <f t="shared" si="74"/>
        <v>1000000</v>
      </c>
      <c r="Q940" s="75" t="s">
        <v>52</v>
      </c>
    </row>
    <row r="941" spans="1:17" x14ac:dyDescent="0.25">
      <c r="A941" s="26" t="s">
        <v>81</v>
      </c>
      <c r="B941" s="60" t="s">
        <v>15</v>
      </c>
      <c r="C941" s="60" t="s">
        <v>42</v>
      </c>
      <c r="D941" s="60" t="s">
        <v>274</v>
      </c>
      <c r="E941" s="60">
        <v>1</v>
      </c>
      <c r="F941" s="60" t="s">
        <v>7</v>
      </c>
      <c r="G941" s="72" t="s">
        <v>10</v>
      </c>
      <c r="H941" s="73">
        <v>1000000</v>
      </c>
      <c r="I941" s="74">
        <v>1</v>
      </c>
      <c r="J941" s="29">
        <v>25</v>
      </c>
      <c r="K941" s="29"/>
      <c r="L941" s="29"/>
      <c r="M941" s="29"/>
      <c r="N941" s="29"/>
      <c r="O941" s="29" t="s">
        <v>51</v>
      </c>
      <c r="P941" s="73">
        <f t="shared" si="74"/>
        <v>1000000</v>
      </c>
      <c r="Q941" s="75" t="s">
        <v>52</v>
      </c>
    </row>
    <row r="942" spans="1:17" x14ac:dyDescent="0.25">
      <c r="A942" s="26" t="s">
        <v>81</v>
      </c>
      <c r="B942" s="60" t="s">
        <v>15</v>
      </c>
      <c r="C942" s="60" t="s">
        <v>42</v>
      </c>
      <c r="D942" s="60" t="s">
        <v>278</v>
      </c>
      <c r="E942" s="60">
        <v>2</v>
      </c>
      <c r="F942" s="60" t="s">
        <v>7</v>
      </c>
      <c r="G942" s="72" t="s">
        <v>10</v>
      </c>
      <c r="H942" s="73">
        <v>1300000</v>
      </c>
      <c r="I942" s="74">
        <v>1</v>
      </c>
      <c r="J942" s="77">
        <v>15</v>
      </c>
      <c r="K942" s="29"/>
      <c r="L942" s="29"/>
      <c r="M942" s="29"/>
      <c r="N942" s="29"/>
      <c r="O942" s="29" t="s">
        <v>51</v>
      </c>
      <c r="P942" s="73">
        <f t="shared" si="74"/>
        <v>1300000</v>
      </c>
      <c r="Q942" s="75" t="s">
        <v>52</v>
      </c>
    </row>
    <row r="943" spans="1:17" x14ac:dyDescent="0.25">
      <c r="A943" s="26" t="s">
        <v>81</v>
      </c>
      <c r="B943" s="60" t="s">
        <v>15</v>
      </c>
      <c r="C943" s="60" t="s">
        <v>42</v>
      </c>
      <c r="D943" s="60" t="s">
        <v>275</v>
      </c>
      <c r="E943" s="60">
        <v>2</v>
      </c>
      <c r="F943" s="60" t="s">
        <v>7</v>
      </c>
      <c r="G943" s="72" t="s">
        <v>10</v>
      </c>
      <c r="H943" s="73">
        <v>1300000</v>
      </c>
      <c r="I943" s="74">
        <v>1</v>
      </c>
      <c r="J943" s="29">
        <v>25</v>
      </c>
      <c r="K943" s="29"/>
      <c r="L943" s="29"/>
      <c r="M943" s="29"/>
      <c r="N943" s="29"/>
      <c r="O943" s="29" t="s">
        <v>51</v>
      </c>
      <c r="P943" s="73">
        <f t="shared" si="74"/>
        <v>1300000</v>
      </c>
      <c r="Q943" s="75" t="s">
        <v>52</v>
      </c>
    </row>
    <row r="944" spans="1:17" x14ac:dyDescent="0.25">
      <c r="A944" s="26" t="s">
        <v>81</v>
      </c>
      <c r="B944" s="60" t="s">
        <v>15</v>
      </c>
      <c r="C944" s="60" t="s">
        <v>42</v>
      </c>
      <c r="D944" s="60" t="s">
        <v>279</v>
      </c>
      <c r="E944" s="60">
        <v>3</v>
      </c>
      <c r="F944" s="60" t="s">
        <v>7</v>
      </c>
      <c r="G944" s="72" t="s">
        <v>10</v>
      </c>
      <c r="H944" s="73">
        <v>2366000</v>
      </c>
      <c r="I944" s="74">
        <v>1</v>
      </c>
      <c r="J944" s="77">
        <v>15</v>
      </c>
      <c r="K944" s="29"/>
      <c r="L944" s="29"/>
      <c r="M944" s="29"/>
      <c r="N944" s="29"/>
      <c r="O944" s="29" t="s">
        <v>51</v>
      </c>
      <c r="P944" s="73">
        <f t="shared" si="74"/>
        <v>2366000</v>
      </c>
      <c r="Q944" s="75" t="s">
        <v>52</v>
      </c>
    </row>
    <row r="945" spans="1:19" x14ac:dyDescent="0.25">
      <c r="A945" s="26" t="s">
        <v>81</v>
      </c>
      <c r="B945" s="60" t="s">
        <v>15</v>
      </c>
      <c r="C945" s="60" t="s">
        <v>42</v>
      </c>
      <c r="D945" s="60" t="s">
        <v>276</v>
      </c>
      <c r="E945" s="60">
        <v>3</v>
      </c>
      <c r="F945" s="60" t="s">
        <v>7</v>
      </c>
      <c r="G945" s="72" t="s">
        <v>10</v>
      </c>
      <c r="H945" s="73">
        <v>2366000</v>
      </c>
      <c r="I945" s="74">
        <v>1</v>
      </c>
      <c r="J945" s="29">
        <v>25</v>
      </c>
      <c r="K945" s="29"/>
      <c r="L945" s="29"/>
      <c r="M945" s="29"/>
      <c r="N945" s="29"/>
      <c r="O945" s="29" t="s">
        <v>51</v>
      </c>
      <c r="P945" s="73">
        <f t="shared" si="74"/>
        <v>2366000</v>
      </c>
      <c r="Q945" s="75" t="s">
        <v>52</v>
      </c>
    </row>
    <row r="946" spans="1:19" x14ac:dyDescent="0.25">
      <c r="A946" s="26" t="s">
        <v>81</v>
      </c>
      <c r="B946" s="60" t="s">
        <v>15</v>
      </c>
      <c r="C946" s="60" t="s">
        <v>84</v>
      </c>
      <c r="D946" s="60" t="s">
        <v>277</v>
      </c>
      <c r="E946" s="60">
        <v>1</v>
      </c>
      <c r="F946" s="60" t="s">
        <v>7</v>
      </c>
      <c r="G946" s="72" t="s">
        <v>83</v>
      </c>
      <c r="H946" s="73">
        <v>2809113.16</v>
      </c>
      <c r="I946" s="74">
        <v>1</v>
      </c>
      <c r="J946" s="77">
        <v>15</v>
      </c>
      <c r="K946" s="29"/>
      <c r="L946" s="29"/>
      <c r="M946" s="29"/>
      <c r="N946" s="29"/>
      <c r="O946" s="29" t="s">
        <v>51</v>
      </c>
      <c r="P946" s="73">
        <f t="shared" si="74"/>
        <v>2809113.16</v>
      </c>
      <c r="Q946" s="75" t="s">
        <v>52</v>
      </c>
    </row>
    <row r="947" spans="1:19" x14ac:dyDescent="0.25">
      <c r="A947" s="26" t="s">
        <v>81</v>
      </c>
      <c r="B947" s="60" t="s">
        <v>15</v>
      </c>
      <c r="C947" s="60" t="s">
        <v>84</v>
      </c>
      <c r="D947" s="60" t="s">
        <v>274</v>
      </c>
      <c r="E947" s="60">
        <v>1</v>
      </c>
      <c r="F947" s="60" t="s">
        <v>7</v>
      </c>
      <c r="G947" s="72" t="s">
        <v>83</v>
      </c>
      <c r="H947" s="73">
        <v>2809113.16</v>
      </c>
      <c r="I947" s="74">
        <v>1</v>
      </c>
      <c r="J947" s="29">
        <v>25</v>
      </c>
      <c r="K947" s="29"/>
      <c r="L947" s="29"/>
      <c r="M947" s="29"/>
      <c r="N947" s="29"/>
      <c r="O947" s="29" t="s">
        <v>51</v>
      </c>
      <c r="P947" s="73">
        <f t="shared" si="74"/>
        <v>2809113.16</v>
      </c>
      <c r="Q947" s="75" t="s">
        <v>52</v>
      </c>
    </row>
    <row r="948" spans="1:19" x14ac:dyDescent="0.25">
      <c r="A948" s="26" t="s">
        <v>81</v>
      </c>
      <c r="B948" s="60" t="s">
        <v>15</v>
      </c>
      <c r="C948" s="60" t="s">
        <v>84</v>
      </c>
      <c r="D948" s="60" t="s">
        <v>278</v>
      </c>
      <c r="E948" s="60">
        <v>2</v>
      </c>
      <c r="F948" s="60" t="s">
        <v>7</v>
      </c>
      <c r="G948" s="72" t="s">
        <v>83</v>
      </c>
      <c r="H948" s="73">
        <v>6553544.2000000002</v>
      </c>
      <c r="I948" s="74">
        <v>1</v>
      </c>
      <c r="J948" s="77">
        <v>15</v>
      </c>
      <c r="K948" s="29"/>
      <c r="L948" s="29"/>
      <c r="M948" s="29"/>
      <c r="N948" s="29"/>
      <c r="O948" s="29" t="s">
        <v>51</v>
      </c>
      <c r="P948" s="73">
        <f t="shared" si="74"/>
        <v>6553544.2000000002</v>
      </c>
      <c r="Q948" s="75" t="s">
        <v>52</v>
      </c>
    </row>
    <row r="949" spans="1:19" x14ac:dyDescent="0.25">
      <c r="A949" s="26" t="s">
        <v>81</v>
      </c>
      <c r="B949" s="60" t="s">
        <v>15</v>
      </c>
      <c r="C949" s="60" t="s">
        <v>84</v>
      </c>
      <c r="D949" s="60" t="s">
        <v>275</v>
      </c>
      <c r="E949" s="60">
        <v>2</v>
      </c>
      <c r="F949" s="60" t="s">
        <v>7</v>
      </c>
      <c r="G949" s="72" t="s">
        <v>83</v>
      </c>
      <c r="H949" s="73">
        <v>6553544.2000000002</v>
      </c>
      <c r="I949" s="74">
        <v>1</v>
      </c>
      <c r="J949" s="29">
        <v>25</v>
      </c>
      <c r="K949" s="29"/>
      <c r="L949" s="29"/>
      <c r="M949" s="29"/>
      <c r="N949" s="29"/>
      <c r="O949" s="29" t="s">
        <v>51</v>
      </c>
      <c r="P949" s="73">
        <f t="shared" si="74"/>
        <v>6553544.2000000002</v>
      </c>
      <c r="Q949" s="75" t="s">
        <v>52</v>
      </c>
    </row>
    <row r="950" spans="1:19" x14ac:dyDescent="0.25">
      <c r="A950" s="26" t="s">
        <v>81</v>
      </c>
      <c r="B950" s="60" t="s">
        <v>15</v>
      </c>
      <c r="C950" s="60" t="s">
        <v>84</v>
      </c>
      <c r="D950" s="60" t="s">
        <v>279</v>
      </c>
      <c r="E950" s="60">
        <v>3</v>
      </c>
      <c r="F950" s="60" t="s">
        <v>7</v>
      </c>
      <c r="G950" s="72" t="s">
        <v>83</v>
      </c>
      <c r="H950" s="73">
        <v>13296639.02</v>
      </c>
      <c r="I950" s="74">
        <v>1</v>
      </c>
      <c r="J950" s="77">
        <v>15</v>
      </c>
      <c r="K950" s="29"/>
      <c r="L950" s="29"/>
      <c r="M950" s="29"/>
      <c r="N950" s="29"/>
      <c r="O950" s="29" t="s">
        <v>51</v>
      </c>
      <c r="P950" s="73">
        <f t="shared" si="74"/>
        <v>13296639.02</v>
      </c>
      <c r="Q950" s="75" t="s">
        <v>52</v>
      </c>
    </row>
    <row r="951" spans="1:19" x14ac:dyDescent="0.25">
      <c r="A951" s="26" t="s">
        <v>81</v>
      </c>
      <c r="B951" s="60" t="s">
        <v>15</v>
      </c>
      <c r="C951" s="60" t="s">
        <v>84</v>
      </c>
      <c r="D951" s="60" t="s">
        <v>276</v>
      </c>
      <c r="E951" s="60">
        <v>3</v>
      </c>
      <c r="F951" s="60" t="s">
        <v>7</v>
      </c>
      <c r="G951" s="72" t="s">
        <v>83</v>
      </c>
      <c r="H951" s="73">
        <v>13296639.02</v>
      </c>
      <c r="I951" s="74">
        <v>1</v>
      </c>
      <c r="J951" s="29">
        <v>25</v>
      </c>
      <c r="K951" s="29"/>
      <c r="L951" s="29"/>
      <c r="M951" s="29"/>
      <c r="N951" s="29"/>
      <c r="O951" s="29" t="s">
        <v>51</v>
      </c>
      <c r="P951" s="73">
        <f t="shared" si="74"/>
        <v>13296639.02</v>
      </c>
      <c r="Q951" s="75" t="s">
        <v>52</v>
      </c>
    </row>
    <row r="952" spans="1:19" x14ac:dyDescent="0.25">
      <c r="A952" s="26" t="s">
        <v>81</v>
      </c>
      <c r="B952" s="60" t="s">
        <v>15</v>
      </c>
      <c r="C952" s="60" t="s">
        <v>43</v>
      </c>
      <c r="D952" s="60" t="s">
        <v>213</v>
      </c>
      <c r="E952" s="60">
        <v>1</v>
      </c>
      <c r="F952" s="60" t="s">
        <v>1</v>
      </c>
      <c r="G952" s="72" t="s">
        <v>12</v>
      </c>
      <c r="H952" s="73">
        <v>1000000</v>
      </c>
      <c r="I952" s="74">
        <v>1</v>
      </c>
      <c r="J952" s="29"/>
      <c r="K952" s="29"/>
      <c r="L952" s="29"/>
      <c r="M952" s="29"/>
      <c r="N952" s="29"/>
      <c r="O952" s="29" t="s">
        <v>51</v>
      </c>
      <c r="P952" s="73">
        <f t="shared" si="74"/>
        <v>1000000</v>
      </c>
      <c r="Q952" s="75" t="s">
        <v>52</v>
      </c>
    </row>
    <row r="953" spans="1:19" x14ac:dyDescent="0.25">
      <c r="A953" s="26" t="s">
        <v>81</v>
      </c>
      <c r="B953" s="60" t="s">
        <v>15</v>
      </c>
      <c r="C953" s="60" t="s">
        <v>43</v>
      </c>
      <c r="D953" s="60" t="s">
        <v>213</v>
      </c>
      <c r="E953" s="60">
        <v>2</v>
      </c>
      <c r="F953" s="60" t="s">
        <v>1</v>
      </c>
      <c r="G953" s="72" t="s">
        <v>12</v>
      </c>
      <c r="H953" s="73">
        <v>1000000</v>
      </c>
      <c r="I953" s="74">
        <v>1</v>
      </c>
      <c r="J953" s="29"/>
      <c r="K953" s="29"/>
      <c r="L953" s="29"/>
      <c r="M953" s="29"/>
      <c r="N953" s="29"/>
      <c r="O953" s="29" t="s">
        <v>51</v>
      </c>
      <c r="P953" s="73">
        <f t="shared" ref="P953:P958" si="75">+I953*H953</f>
        <v>1000000</v>
      </c>
      <c r="Q953" s="75" t="s">
        <v>52</v>
      </c>
    </row>
    <row r="954" spans="1:19" x14ac:dyDescent="0.25">
      <c r="A954" s="26" t="s">
        <v>81</v>
      </c>
      <c r="B954" s="60" t="s">
        <v>15</v>
      </c>
      <c r="C954" s="60" t="s">
        <v>43</v>
      </c>
      <c r="D954" s="60" t="s">
        <v>213</v>
      </c>
      <c r="E954" s="60">
        <v>3</v>
      </c>
      <c r="F954" s="60" t="s">
        <v>1</v>
      </c>
      <c r="G954" s="72" t="s">
        <v>12</v>
      </c>
      <c r="H954" s="73">
        <v>1000000</v>
      </c>
      <c r="I954" s="74">
        <v>1</v>
      </c>
      <c r="J954" s="29"/>
      <c r="K954" s="29"/>
      <c r="L954" s="29"/>
      <c r="M954" s="29"/>
      <c r="N954" s="29"/>
      <c r="O954" s="29" t="s">
        <v>51</v>
      </c>
      <c r="P954" s="73">
        <f t="shared" si="75"/>
        <v>1000000</v>
      </c>
      <c r="Q954" s="75" t="s">
        <v>52</v>
      </c>
    </row>
    <row r="955" spans="1:19" x14ac:dyDescent="0.25">
      <c r="A955" s="26" t="s">
        <v>81</v>
      </c>
      <c r="B955" s="60" t="s">
        <v>15</v>
      </c>
      <c r="C955" s="60" t="s">
        <v>43</v>
      </c>
      <c r="D955" s="60" t="s">
        <v>214</v>
      </c>
      <c r="E955" s="60">
        <v>1</v>
      </c>
      <c r="F955" s="60" t="s">
        <v>1</v>
      </c>
      <c r="G955" s="72" t="s">
        <v>12</v>
      </c>
      <c r="H955" s="79">
        <v>5015.2577999999994</v>
      </c>
      <c r="I955" s="74">
        <f>+TRM</f>
        <v>4000</v>
      </c>
      <c r="J955" s="29"/>
      <c r="K955" s="29"/>
      <c r="L955" s="29"/>
      <c r="M955" s="29"/>
      <c r="N955" s="29"/>
      <c r="O955" s="29" t="s">
        <v>51</v>
      </c>
      <c r="P955" s="73">
        <f t="shared" si="75"/>
        <v>20061031.199999999</v>
      </c>
      <c r="Q955" s="75" t="s">
        <v>52</v>
      </c>
    </row>
    <row r="956" spans="1:19" x14ac:dyDescent="0.25">
      <c r="A956" s="26" t="s">
        <v>81</v>
      </c>
      <c r="B956" s="60" t="s">
        <v>15</v>
      </c>
      <c r="C956" s="60" t="s">
        <v>43</v>
      </c>
      <c r="D956" s="60" t="s">
        <v>214</v>
      </c>
      <c r="E956" s="60">
        <v>2</v>
      </c>
      <c r="F956" s="60" t="s">
        <v>1</v>
      </c>
      <c r="G956" s="72" t="s">
        <v>12</v>
      </c>
      <c r="H956" s="79">
        <v>5015.2577999999994</v>
      </c>
      <c r="I956" s="74">
        <f>+TRM</f>
        <v>4000</v>
      </c>
      <c r="J956" s="29"/>
      <c r="K956" s="29"/>
      <c r="L956" s="29"/>
      <c r="M956" s="29"/>
      <c r="N956" s="29"/>
      <c r="O956" s="29" t="s">
        <v>51</v>
      </c>
      <c r="P956" s="73">
        <f t="shared" si="75"/>
        <v>20061031.199999999</v>
      </c>
      <c r="Q956" s="75" t="s">
        <v>52</v>
      </c>
      <c r="S956" s="56"/>
    </row>
    <row r="957" spans="1:19" x14ac:dyDescent="0.25">
      <c r="A957" s="26" t="s">
        <v>81</v>
      </c>
      <c r="B957" s="60" t="s">
        <v>15</v>
      </c>
      <c r="C957" s="60" t="s">
        <v>43</v>
      </c>
      <c r="D957" s="60" t="s">
        <v>214</v>
      </c>
      <c r="E957" s="60">
        <v>3</v>
      </c>
      <c r="F957" s="60" t="s">
        <v>1</v>
      </c>
      <c r="G957" s="72" t="s">
        <v>12</v>
      </c>
      <c r="H957" s="79">
        <v>5015.2577999999994</v>
      </c>
      <c r="I957" s="74">
        <f>+TRM</f>
        <v>4000</v>
      </c>
      <c r="J957" s="29"/>
      <c r="K957" s="29"/>
      <c r="L957" s="29"/>
      <c r="M957" s="29"/>
      <c r="N957" s="29"/>
      <c r="O957" s="29" t="s">
        <v>51</v>
      </c>
      <c r="P957" s="73">
        <f t="shared" si="75"/>
        <v>20061031.199999999</v>
      </c>
      <c r="Q957" s="75" t="s">
        <v>52</v>
      </c>
      <c r="S957" s="56"/>
    </row>
    <row r="958" spans="1:19" x14ac:dyDescent="0.25">
      <c r="A958" s="26" t="s">
        <v>81</v>
      </c>
      <c r="B958" s="60" t="s">
        <v>15</v>
      </c>
      <c r="C958" s="60" t="s">
        <v>44</v>
      </c>
      <c r="D958" s="60" t="s">
        <v>23</v>
      </c>
      <c r="E958" s="60"/>
      <c r="F958" s="60" t="s">
        <v>7</v>
      </c>
      <c r="G958" s="72" t="s">
        <v>11</v>
      </c>
      <c r="H958" s="73">
        <v>9683761.2200000007</v>
      </c>
      <c r="I958" s="74">
        <v>1</v>
      </c>
      <c r="J958" s="29"/>
      <c r="K958" s="29"/>
      <c r="L958" s="29"/>
      <c r="M958" s="29"/>
      <c r="N958" s="29"/>
      <c r="O958" s="29" t="s">
        <v>51</v>
      </c>
      <c r="P958" s="73">
        <f t="shared" si="75"/>
        <v>9683761.2200000007</v>
      </c>
      <c r="Q958" s="75" t="s">
        <v>52</v>
      </c>
    </row>
    <row r="959" spans="1:19" x14ac:dyDescent="0.25">
      <c r="A959" s="26" t="s">
        <v>81</v>
      </c>
      <c r="B959" s="60" t="s">
        <v>60</v>
      </c>
      <c r="C959" s="26" t="s">
        <v>118</v>
      </c>
      <c r="D959" s="26" t="s">
        <v>118</v>
      </c>
      <c r="E959" s="68"/>
      <c r="F959" s="26" t="s">
        <v>7</v>
      </c>
      <c r="G959" s="27" t="s">
        <v>83</v>
      </c>
      <c r="H959" s="80">
        <v>8715000</v>
      </c>
      <c r="I959" s="74">
        <v>1</v>
      </c>
      <c r="J959" s="29" t="s">
        <v>81</v>
      </c>
      <c r="K959" s="29"/>
      <c r="L959" s="29"/>
      <c r="M959" s="29"/>
      <c r="N959" s="29"/>
      <c r="O959" s="29" t="s">
        <v>51</v>
      </c>
      <c r="P959" s="73">
        <f>+I959*H959</f>
        <v>8715000</v>
      </c>
      <c r="Q959" s="75" t="s">
        <v>52</v>
      </c>
    </row>
    <row r="960" spans="1:19" x14ac:dyDescent="0.25">
      <c r="A960" s="26" t="s">
        <v>81</v>
      </c>
      <c r="B960" s="60" t="s">
        <v>60</v>
      </c>
      <c r="C960" s="26" t="s">
        <v>59</v>
      </c>
      <c r="D960" s="81" t="s">
        <v>23</v>
      </c>
      <c r="E960" s="81"/>
      <c r="F960" s="60" t="s">
        <v>7</v>
      </c>
      <c r="G960" s="72" t="s">
        <v>83</v>
      </c>
      <c r="H960" s="80">
        <f>+'Espectro MW'!C9/12</f>
        <v>1571182.7679744002</v>
      </c>
      <c r="I960" s="74">
        <v>1</v>
      </c>
      <c r="J960" s="29" t="s">
        <v>81</v>
      </c>
      <c r="K960" s="29"/>
      <c r="L960" s="29"/>
      <c r="M960" s="29"/>
      <c r="N960" s="29"/>
      <c r="O960" s="29" t="s">
        <v>51</v>
      </c>
      <c r="P960" s="73">
        <f t="shared" ref="P960:P964" si="76">+I960*H960</f>
        <v>1571182.7679744002</v>
      </c>
      <c r="Q960" s="75" t="s">
        <v>52</v>
      </c>
    </row>
    <row r="961" spans="1:17" x14ac:dyDescent="0.25">
      <c r="A961" s="26" t="s">
        <v>81</v>
      </c>
      <c r="B961" s="60" t="s">
        <v>60</v>
      </c>
      <c r="C961" s="26" t="s">
        <v>61</v>
      </c>
      <c r="D961" s="81" t="s">
        <v>23</v>
      </c>
      <c r="E961" s="81"/>
      <c r="F961" s="60" t="s">
        <v>7</v>
      </c>
      <c r="G961" s="72" t="s">
        <v>83</v>
      </c>
      <c r="H961" s="80">
        <v>5052.9840000000004</v>
      </c>
      <c r="I961" s="74">
        <v>1</v>
      </c>
      <c r="J961" s="29" t="s">
        <v>81</v>
      </c>
      <c r="K961" s="29"/>
      <c r="L961" s="29"/>
      <c r="M961" s="29"/>
      <c r="N961" s="29"/>
      <c r="O961" s="29" t="s">
        <v>51</v>
      </c>
      <c r="P961" s="73">
        <f t="shared" si="76"/>
        <v>5052.9840000000004</v>
      </c>
      <c r="Q961" s="75" t="s">
        <v>52</v>
      </c>
    </row>
    <row r="962" spans="1:17" x14ac:dyDescent="0.25">
      <c r="A962" s="26" t="s">
        <v>81</v>
      </c>
      <c r="B962" s="60" t="s">
        <v>60</v>
      </c>
      <c r="C962" s="26" t="s">
        <v>119</v>
      </c>
      <c r="D962" s="26" t="s">
        <v>119</v>
      </c>
      <c r="E962" s="26"/>
      <c r="F962" s="26" t="s">
        <v>7</v>
      </c>
      <c r="G962" s="27" t="s">
        <v>83</v>
      </c>
      <c r="H962" s="80">
        <v>190000</v>
      </c>
      <c r="I962" s="75">
        <v>1</v>
      </c>
      <c r="J962" s="29" t="s">
        <v>113</v>
      </c>
      <c r="K962" s="29"/>
      <c r="L962" s="29"/>
      <c r="M962" s="29"/>
      <c r="N962" s="29"/>
      <c r="O962" s="29" t="s">
        <v>51</v>
      </c>
      <c r="P962" s="73">
        <f t="shared" si="76"/>
        <v>190000</v>
      </c>
      <c r="Q962" s="75" t="s">
        <v>52</v>
      </c>
    </row>
    <row r="963" spans="1:17" x14ac:dyDescent="0.25">
      <c r="A963" s="26" t="s">
        <v>113</v>
      </c>
      <c r="B963" s="26" t="s">
        <v>113</v>
      </c>
      <c r="C963" s="26" t="s">
        <v>115</v>
      </c>
      <c r="D963" s="26" t="s">
        <v>116</v>
      </c>
      <c r="E963" s="26"/>
      <c r="F963" s="82" t="s">
        <v>7</v>
      </c>
      <c r="G963" s="27" t="s">
        <v>83</v>
      </c>
      <c r="H963" s="80">
        <v>1800000</v>
      </c>
      <c r="I963" s="75">
        <v>1</v>
      </c>
      <c r="J963" s="29" t="s">
        <v>113</v>
      </c>
      <c r="K963" s="29"/>
      <c r="L963" s="29"/>
      <c r="M963" s="29"/>
      <c r="N963" s="29"/>
      <c r="O963" s="29"/>
      <c r="P963" s="73">
        <f t="shared" si="76"/>
        <v>1800000</v>
      </c>
      <c r="Q963" s="75" t="s">
        <v>52</v>
      </c>
    </row>
    <row r="964" spans="1:17" x14ac:dyDescent="0.25">
      <c r="A964" s="26" t="s">
        <v>113</v>
      </c>
      <c r="B964" s="26" t="s">
        <v>113</v>
      </c>
      <c r="C964" s="26" t="s">
        <v>272</v>
      </c>
      <c r="D964" s="26" t="s">
        <v>116</v>
      </c>
      <c r="E964" s="26"/>
      <c r="F964" s="82" t="s">
        <v>1</v>
      </c>
      <c r="G964" s="27" t="s">
        <v>12</v>
      </c>
      <c r="H964" s="80">
        <v>190400</v>
      </c>
      <c r="I964" s="75">
        <v>1</v>
      </c>
      <c r="J964" s="29" t="s">
        <v>113</v>
      </c>
      <c r="K964" s="29"/>
      <c r="L964" s="29"/>
      <c r="M964" s="29"/>
      <c r="N964" s="29"/>
      <c r="O964" s="29"/>
      <c r="P964" s="73">
        <f t="shared" si="76"/>
        <v>190400</v>
      </c>
      <c r="Q964" s="75" t="s">
        <v>52</v>
      </c>
    </row>
    <row r="965" spans="1:17" x14ac:dyDescent="0.25">
      <c r="A965" s="26" t="s">
        <v>113</v>
      </c>
      <c r="B965" s="26" t="s">
        <v>113</v>
      </c>
      <c r="C965" s="26" t="s">
        <v>114</v>
      </c>
      <c r="D965" s="26" t="s">
        <v>114</v>
      </c>
      <c r="E965" s="26"/>
      <c r="F965" s="82" t="s">
        <v>1</v>
      </c>
      <c r="G965" s="27" t="s">
        <v>12</v>
      </c>
      <c r="H965" s="80">
        <v>2000000</v>
      </c>
      <c r="I965" s="75">
        <v>1</v>
      </c>
      <c r="J965" s="29" t="s">
        <v>113</v>
      </c>
      <c r="K965" s="29"/>
      <c r="L965" s="29"/>
      <c r="M965" s="29"/>
      <c r="N965" s="29"/>
      <c r="O965" s="29"/>
      <c r="P965" s="73">
        <f>+IF('Parametros tecnológicos'!C26="S",I965*H965,0)</f>
        <v>2000000</v>
      </c>
      <c r="Q965" s="75" t="s">
        <v>52</v>
      </c>
    </row>
    <row r="966" spans="1:17" x14ac:dyDescent="0.25">
      <c r="A966" s="26" t="s">
        <v>117</v>
      </c>
      <c r="B966" s="26" t="s">
        <v>117</v>
      </c>
      <c r="C966" s="26" t="s">
        <v>137</v>
      </c>
      <c r="D966" s="26" t="s">
        <v>137</v>
      </c>
      <c r="E966" s="26"/>
      <c r="F966" s="82" t="s">
        <v>1</v>
      </c>
      <c r="G966" s="27" t="s">
        <v>12</v>
      </c>
      <c r="H966" s="80">
        <v>500000</v>
      </c>
      <c r="I966" s="75">
        <v>1</v>
      </c>
      <c r="J966" s="29"/>
      <c r="K966" s="29"/>
      <c r="L966" s="29"/>
      <c r="M966" s="29"/>
      <c r="N966" s="29"/>
      <c r="O966" s="29"/>
      <c r="P966" s="73">
        <f>+H966*Subscriptores</f>
        <v>1421550000</v>
      </c>
      <c r="Q966" s="75" t="s">
        <v>52</v>
      </c>
    </row>
    <row r="967" spans="1:17" x14ac:dyDescent="0.25">
      <c r="A967" s="26" t="s">
        <v>302</v>
      </c>
      <c r="B967" s="26" t="s">
        <v>302</v>
      </c>
      <c r="C967" s="26" t="s">
        <v>315</v>
      </c>
      <c r="D967" s="26" t="s">
        <v>315</v>
      </c>
      <c r="E967" s="26"/>
      <c r="F967" s="82" t="s">
        <v>1</v>
      </c>
      <c r="G967" s="27" t="s">
        <v>12</v>
      </c>
      <c r="H967" s="30">
        <f>+'Parametros tecnológicos'!D34*'Parametros tecnológicos'!D35*'Parametros tecnológicos'!D36</f>
        <v>0</v>
      </c>
      <c r="I967" s="74">
        <v>4000</v>
      </c>
      <c r="J967" s="29"/>
      <c r="K967" s="29"/>
      <c r="L967" s="29"/>
      <c r="M967" s="29"/>
      <c r="N967" s="29"/>
      <c r="O967" s="29"/>
      <c r="P967" s="73">
        <f>+H967*I967</f>
        <v>0</v>
      </c>
      <c r="Q967" s="75" t="s">
        <v>52</v>
      </c>
    </row>
    <row r="968" spans="1:17" x14ac:dyDescent="0.25">
      <c r="A968" s="26" t="s">
        <v>109</v>
      </c>
      <c r="B968" s="26" t="s">
        <v>109</v>
      </c>
      <c r="C968" s="26" t="s">
        <v>110</v>
      </c>
      <c r="D968" s="26" t="s">
        <v>110</v>
      </c>
      <c r="E968" s="68"/>
      <c r="F968" s="26" t="s">
        <v>1</v>
      </c>
      <c r="G968" s="27" t="s">
        <v>12</v>
      </c>
      <c r="H968" s="80">
        <v>30000</v>
      </c>
      <c r="I968" s="74">
        <v>1</v>
      </c>
      <c r="J968" s="29" t="s">
        <v>113</v>
      </c>
      <c r="K968" s="29"/>
      <c r="L968" s="29"/>
      <c r="M968" s="29"/>
      <c r="N968" s="29"/>
      <c r="O968" s="29" t="s">
        <v>51</v>
      </c>
      <c r="P968" s="73">
        <f>+I968*H968*Splitters</f>
        <v>0</v>
      </c>
      <c r="Q968" s="75" t="s">
        <v>52</v>
      </c>
    </row>
    <row r="969" spans="1:17" x14ac:dyDescent="0.25">
      <c r="A969" s="26" t="s">
        <v>109</v>
      </c>
      <c r="B969" s="26" t="s">
        <v>109</v>
      </c>
      <c r="C969" s="26" t="s">
        <v>111</v>
      </c>
      <c r="D969" s="26" t="s">
        <v>111</v>
      </c>
      <c r="E969" s="68"/>
      <c r="F969" s="26" t="s">
        <v>1</v>
      </c>
      <c r="G969" s="27" t="s">
        <v>12</v>
      </c>
      <c r="H969" s="79">
        <v>4000</v>
      </c>
      <c r="I969" s="74">
        <f>+TRM</f>
        <v>4000</v>
      </c>
      <c r="J969" s="29" t="s">
        <v>113</v>
      </c>
      <c r="K969" s="29"/>
      <c r="L969" s="29"/>
      <c r="M969" s="29"/>
      <c r="N969" s="29"/>
      <c r="O969" s="29" t="s">
        <v>51</v>
      </c>
      <c r="P969" s="73">
        <f>+I969*H969</f>
        <v>16000000</v>
      </c>
      <c r="Q969" s="75" t="s">
        <v>52</v>
      </c>
    </row>
    <row r="970" spans="1:17" x14ac:dyDescent="0.25">
      <c r="A970" s="26" t="s">
        <v>109</v>
      </c>
      <c r="B970" s="26" t="s">
        <v>109</v>
      </c>
      <c r="C970" s="26" t="s">
        <v>263</v>
      </c>
      <c r="D970" s="26" t="s">
        <v>263</v>
      </c>
      <c r="E970" s="68"/>
      <c r="F970" s="26" t="s">
        <v>1</v>
      </c>
      <c r="G970" s="27" t="s">
        <v>12</v>
      </c>
      <c r="H970" s="80">
        <v>42000000</v>
      </c>
      <c r="I970" s="74">
        <v>1</v>
      </c>
      <c r="J970" s="29" t="s">
        <v>113</v>
      </c>
      <c r="K970" s="29"/>
      <c r="L970" s="29"/>
      <c r="M970" s="29"/>
      <c r="N970" s="29"/>
      <c r="O970" s="29" t="s">
        <v>51</v>
      </c>
      <c r="P970" s="73">
        <f>+I970*H970</f>
        <v>42000000</v>
      </c>
      <c r="Q970" s="75" t="s">
        <v>52</v>
      </c>
    </row>
    <row r="971" spans="1:17" x14ac:dyDescent="0.25">
      <c r="A971" s="26" t="s">
        <v>109</v>
      </c>
      <c r="B971" s="26" t="s">
        <v>109</v>
      </c>
      <c r="C971" s="26" t="s">
        <v>264</v>
      </c>
      <c r="D971" s="26" t="s">
        <v>264</v>
      </c>
      <c r="E971" s="68"/>
      <c r="F971" s="26" t="s">
        <v>1</v>
      </c>
      <c r="G971" s="27" t="s">
        <v>12</v>
      </c>
      <c r="H971" s="80">
        <v>66000</v>
      </c>
      <c r="I971" s="74">
        <v>1</v>
      </c>
      <c r="J971" s="29" t="s">
        <v>113</v>
      </c>
      <c r="K971" s="29"/>
      <c r="L971" s="29"/>
      <c r="M971" s="29"/>
      <c r="N971" s="29"/>
      <c r="O971" s="29" t="s">
        <v>51</v>
      </c>
      <c r="P971" s="73">
        <f>+I971*H971*Cantidad_postes</f>
        <v>0</v>
      </c>
      <c r="Q971" s="75" t="s">
        <v>52</v>
      </c>
    </row>
    <row r="972" spans="1:17" x14ac:dyDescent="0.25">
      <c r="A972" s="26" t="s">
        <v>109</v>
      </c>
      <c r="B972" s="26" t="s">
        <v>109</v>
      </c>
      <c r="C972" s="26" t="s">
        <v>265</v>
      </c>
      <c r="D972" s="26" t="s">
        <v>265</v>
      </c>
      <c r="E972" s="68"/>
      <c r="F972" s="26" t="s">
        <v>1</v>
      </c>
      <c r="G972" s="27" t="s">
        <v>12</v>
      </c>
      <c r="H972" s="79">
        <v>3000</v>
      </c>
      <c r="I972" s="74">
        <f>+TRM</f>
        <v>4000</v>
      </c>
      <c r="J972" s="29" t="s">
        <v>113</v>
      </c>
      <c r="K972" s="29"/>
      <c r="L972" s="29"/>
      <c r="M972" s="29"/>
      <c r="N972" s="29"/>
      <c r="O972" s="29" t="s">
        <v>51</v>
      </c>
      <c r="P972" s="73">
        <f>+I972*H972*Longitud_BackHaul</f>
        <v>0</v>
      </c>
      <c r="Q972" s="75" t="s">
        <v>52</v>
      </c>
    </row>
    <row r="973" spans="1:17" x14ac:dyDescent="0.25">
      <c r="A973" s="26" t="s">
        <v>109</v>
      </c>
      <c r="B973" s="26" t="s">
        <v>109</v>
      </c>
      <c r="C973" s="26" t="s">
        <v>266</v>
      </c>
      <c r="D973" s="26" t="s">
        <v>266</v>
      </c>
      <c r="E973" s="68"/>
      <c r="F973" s="26" t="s">
        <v>1</v>
      </c>
      <c r="G973" s="27" t="s">
        <v>12</v>
      </c>
      <c r="H973" s="79">
        <v>2</v>
      </c>
      <c r="I973" s="74">
        <f>+TRM</f>
        <v>4000</v>
      </c>
      <c r="J973" s="29" t="s">
        <v>113</v>
      </c>
      <c r="K973" s="29"/>
      <c r="L973" s="29"/>
      <c r="M973" s="29"/>
      <c r="N973" s="29"/>
      <c r="O973" s="29" t="s">
        <v>51</v>
      </c>
      <c r="P973" s="73">
        <f>+I973*H973*Subscriptores*LongitudAcometida</f>
        <v>0</v>
      </c>
      <c r="Q973" s="75" t="s">
        <v>52</v>
      </c>
    </row>
    <row r="974" spans="1:17" x14ac:dyDescent="0.25">
      <c r="A974" s="26" t="s">
        <v>109</v>
      </c>
      <c r="B974" s="26" t="s">
        <v>109</v>
      </c>
      <c r="C974" s="26" t="s">
        <v>267</v>
      </c>
      <c r="D974" s="26" t="s">
        <v>267</v>
      </c>
      <c r="E974" s="68"/>
      <c r="F974" s="26" t="s">
        <v>1</v>
      </c>
      <c r="G974" s="27" t="s">
        <v>12</v>
      </c>
      <c r="H974" s="80">
        <v>10500</v>
      </c>
      <c r="I974" s="74">
        <v>1</v>
      </c>
      <c r="J974" s="29" t="s">
        <v>113</v>
      </c>
      <c r="K974" s="29"/>
      <c r="L974" s="29"/>
      <c r="M974" s="29"/>
      <c r="N974" s="29"/>
      <c r="O974" s="29" t="s">
        <v>51</v>
      </c>
      <c r="P974" s="73">
        <f>+I974*H974*Subscriptores</f>
        <v>29852550</v>
      </c>
      <c r="Q974" s="75" t="s">
        <v>52</v>
      </c>
    </row>
    <row r="975" spans="1:17" x14ac:dyDescent="0.25">
      <c r="A975" s="26" t="s">
        <v>109</v>
      </c>
      <c r="B975" s="26" t="s">
        <v>109</v>
      </c>
      <c r="C975" s="26" t="s">
        <v>112</v>
      </c>
      <c r="D975" s="26" t="s">
        <v>112</v>
      </c>
      <c r="E975" s="68"/>
      <c r="F975" s="26" t="s">
        <v>1</v>
      </c>
      <c r="G975" s="27" t="s">
        <v>12</v>
      </c>
      <c r="H975" s="80">
        <v>500000</v>
      </c>
      <c r="I975" s="74">
        <v>1</v>
      </c>
      <c r="J975" s="29" t="s">
        <v>113</v>
      </c>
      <c r="K975" s="29"/>
      <c r="L975" s="29"/>
      <c r="M975" s="29"/>
      <c r="N975" s="29"/>
      <c r="O975" s="29" t="s">
        <v>51</v>
      </c>
      <c r="P975" s="73">
        <f>+I975*H975*Subscriptores</f>
        <v>1421550000</v>
      </c>
      <c r="Q975" s="75" t="s">
        <v>52</v>
      </c>
    </row>
    <row r="976" spans="1:17" x14ac:dyDescent="0.25">
      <c r="A976" s="26" t="s">
        <v>109</v>
      </c>
      <c r="B976" s="26" t="s">
        <v>109</v>
      </c>
      <c r="C976" s="26" t="s">
        <v>299</v>
      </c>
      <c r="D976" s="26" t="s">
        <v>299</v>
      </c>
      <c r="E976" s="68"/>
      <c r="F976" s="26" t="s">
        <v>1</v>
      </c>
      <c r="G976" s="27" t="s">
        <v>12</v>
      </c>
      <c r="H976" s="80">
        <v>12960000</v>
      </c>
      <c r="I976" s="74">
        <v>1</v>
      </c>
      <c r="J976" s="29" t="s">
        <v>113</v>
      </c>
      <c r="K976" s="29"/>
      <c r="L976" s="29"/>
      <c r="M976" s="29"/>
      <c r="N976" s="29"/>
      <c r="O976" s="29" t="s">
        <v>51</v>
      </c>
      <c r="P976" s="73">
        <f>+I976*H976</f>
        <v>12960000</v>
      </c>
      <c r="Q976" s="75" t="s">
        <v>52</v>
      </c>
    </row>
    <row r="977" spans="1:17" x14ac:dyDescent="0.25">
      <c r="A977" s="26" t="s">
        <v>109</v>
      </c>
      <c r="B977" s="26" t="s">
        <v>109</v>
      </c>
      <c r="C977" s="26" t="s">
        <v>300</v>
      </c>
      <c r="D977" s="26" t="s">
        <v>300</v>
      </c>
      <c r="E977" s="68"/>
      <c r="F977" s="26" t="s">
        <v>1</v>
      </c>
      <c r="G977" s="27" t="s">
        <v>12</v>
      </c>
      <c r="H977" s="80">
        <f>((20*0.1*Subscriptores)/8)*(10000000*5+0.2*10000000*5)/30</f>
        <v>1421550000</v>
      </c>
      <c r="I977" s="74">
        <v>1</v>
      </c>
      <c r="J977" s="29" t="s">
        <v>113</v>
      </c>
      <c r="K977" s="29"/>
      <c r="L977" s="29"/>
      <c r="M977" s="29"/>
      <c r="N977" s="29"/>
      <c r="O977" s="29" t="s">
        <v>51</v>
      </c>
      <c r="P977" s="73">
        <f>+I977*H977</f>
        <v>1421550000</v>
      </c>
      <c r="Q977" s="75" t="s">
        <v>52</v>
      </c>
    </row>
    <row r="978" spans="1:17" x14ac:dyDescent="0.25">
      <c r="A978" s="26" t="s">
        <v>109</v>
      </c>
      <c r="B978" s="26" t="s">
        <v>109</v>
      </c>
      <c r="C978" s="26" t="s">
        <v>301</v>
      </c>
      <c r="D978" s="26" t="s">
        <v>301</v>
      </c>
      <c r="E978" s="68"/>
      <c r="F978" s="26" t="s">
        <v>7</v>
      </c>
      <c r="G978" s="27" t="s">
        <v>12</v>
      </c>
      <c r="H978" s="80">
        <f>+(20*0.1*Subscriptores)*30000</f>
        <v>170586000</v>
      </c>
      <c r="I978" s="74">
        <v>1</v>
      </c>
      <c r="J978" s="29" t="s">
        <v>113</v>
      </c>
      <c r="K978" s="29"/>
      <c r="L978" s="29"/>
      <c r="M978" s="29"/>
      <c r="N978" s="29"/>
      <c r="O978" s="29" t="s">
        <v>51</v>
      </c>
      <c r="P978" s="73">
        <f>+I978*H978</f>
        <v>170586000</v>
      </c>
      <c r="Q978" s="75" t="s">
        <v>52</v>
      </c>
    </row>
    <row r="979" spans="1:17" x14ac:dyDescent="0.25">
      <c r="A979" s="26" t="s">
        <v>109</v>
      </c>
      <c r="B979" s="26" t="s">
        <v>109</v>
      </c>
      <c r="C979" s="26" t="s">
        <v>269</v>
      </c>
      <c r="D979" s="26" t="s">
        <v>269</v>
      </c>
      <c r="E979" s="68"/>
      <c r="F979" s="26" t="s">
        <v>1</v>
      </c>
      <c r="G979" s="27" t="s">
        <v>12</v>
      </c>
      <c r="H979" s="80">
        <v>50000</v>
      </c>
      <c r="I979" s="74">
        <v>1</v>
      </c>
      <c r="J979" s="29" t="s">
        <v>113</v>
      </c>
      <c r="K979" s="29"/>
      <c r="L979" s="29"/>
      <c r="M979" s="29"/>
      <c r="N979" s="29"/>
      <c r="O979" s="29" t="s">
        <v>51</v>
      </c>
      <c r="P979" s="73">
        <f>+I979*H979*Subscriptores</f>
        <v>142155000</v>
      </c>
      <c r="Q979" s="75" t="s">
        <v>52</v>
      </c>
    </row>
  </sheetData>
  <conditionalFormatting sqref="Q443:Q458 Q731:Q746 Q1:Q170 Q179:Q194 Q203:Q218 Q227:Q242 Q251:Q266 Q275:Q290 Q299:Q314 Q323:Q338 Q347:Q362 Q371:Q386 Q467:Q482 Q491:Q506 Q515:Q530 Q539:Q554 Q563:Q578 Q587:Q602 Q611:Q626 Q635:Q650 Q659:Q674 Q755:Q770 Q779:Q794 Q803:Q818 Q827:Q842 Q854:Q859 Q863:Q868 Q872:Q877 Q879:Q880 Q882:Q883 Q885:Q890 Q895:Q908 Q910:Q911 Q913:Q914 Q916:Q952 Q979 Q960:Q962 Q967:Q975">
    <cfRule type="cellIs" dxfId="53" priority="153" operator="equal">
      <formula>"S"</formula>
    </cfRule>
  </conditionalFormatting>
  <conditionalFormatting sqref="Q395:Q410">
    <cfRule type="cellIs" dxfId="52" priority="152" operator="equal">
      <formula>"S"</formula>
    </cfRule>
  </conditionalFormatting>
  <conditionalFormatting sqref="Q419:Q434">
    <cfRule type="cellIs" dxfId="51" priority="151" operator="equal">
      <formula>"S"</formula>
    </cfRule>
  </conditionalFormatting>
  <conditionalFormatting sqref="Q683:Q698">
    <cfRule type="cellIs" dxfId="50" priority="150" operator="equal">
      <formula>"S"</formula>
    </cfRule>
  </conditionalFormatting>
  <conditionalFormatting sqref="Q707:Q722">
    <cfRule type="cellIs" dxfId="49" priority="149" operator="equal">
      <formula>"S"</formula>
    </cfRule>
  </conditionalFormatting>
  <conditionalFormatting sqref="Q959">
    <cfRule type="cellIs" dxfId="48" priority="139" operator="equal">
      <formula>"S"</formula>
    </cfRule>
  </conditionalFormatting>
  <conditionalFormatting sqref="Q953:Q958">
    <cfRule type="cellIs" dxfId="47" priority="108" operator="equal">
      <formula>"S"</formula>
    </cfRule>
  </conditionalFormatting>
  <conditionalFormatting sqref="Q171:Q178">
    <cfRule type="cellIs" dxfId="46" priority="107" operator="equal">
      <formula>"S"</formula>
    </cfRule>
  </conditionalFormatting>
  <conditionalFormatting sqref="Q195:Q202">
    <cfRule type="cellIs" dxfId="45" priority="106" operator="equal">
      <formula>"S"</formula>
    </cfRule>
  </conditionalFormatting>
  <conditionalFormatting sqref="Q219:Q226">
    <cfRule type="cellIs" dxfId="44" priority="105" operator="equal">
      <formula>"S"</formula>
    </cfRule>
  </conditionalFormatting>
  <conditionalFormatting sqref="Q243:Q250">
    <cfRule type="cellIs" dxfId="43" priority="104" operator="equal">
      <formula>"S"</formula>
    </cfRule>
  </conditionalFormatting>
  <conditionalFormatting sqref="Q267:Q274">
    <cfRule type="cellIs" dxfId="42" priority="103" operator="equal">
      <formula>"S"</formula>
    </cfRule>
  </conditionalFormatting>
  <conditionalFormatting sqref="Q291:Q298">
    <cfRule type="cellIs" dxfId="41" priority="102" operator="equal">
      <formula>"S"</formula>
    </cfRule>
  </conditionalFormatting>
  <conditionalFormatting sqref="Q315:Q322">
    <cfRule type="cellIs" dxfId="40" priority="101" operator="equal">
      <formula>"S"</formula>
    </cfRule>
  </conditionalFormatting>
  <conditionalFormatting sqref="Q339:Q346">
    <cfRule type="cellIs" dxfId="39" priority="100" operator="equal">
      <formula>"S"</formula>
    </cfRule>
  </conditionalFormatting>
  <conditionalFormatting sqref="Q363:Q370">
    <cfRule type="cellIs" dxfId="38" priority="99" operator="equal">
      <formula>"S"</formula>
    </cfRule>
  </conditionalFormatting>
  <conditionalFormatting sqref="Q387:Q394">
    <cfRule type="cellIs" dxfId="37" priority="98" operator="equal">
      <formula>"S"</formula>
    </cfRule>
  </conditionalFormatting>
  <conditionalFormatting sqref="Q411:Q418">
    <cfRule type="cellIs" dxfId="36" priority="97" operator="equal">
      <formula>"S"</formula>
    </cfRule>
  </conditionalFormatting>
  <conditionalFormatting sqref="Q435:Q442">
    <cfRule type="cellIs" dxfId="35" priority="96" operator="equal">
      <formula>"S"</formula>
    </cfRule>
  </conditionalFormatting>
  <conditionalFormatting sqref="Q459:Q466">
    <cfRule type="cellIs" dxfId="34" priority="95" operator="equal">
      <formula>"S"</formula>
    </cfRule>
  </conditionalFormatting>
  <conditionalFormatting sqref="Q483:Q490">
    <cfRule type="cellIs" dxfId="33" priority="94" operator="equal">
      <formula>"S"</formula>
    </cfRule>
  </conditionalFormatting>
  <conditionalFormatting sqref="Q507:Q514">
    <cfRule type="cellIs" dxfId="32" priority="93" operator="equal">
      <formula>"S"</formula>
    </cfRule>
  </conditionalFormatting>
  <conditionalFormatting sqref="Q531:Q538">
    <cfRule type="cellIs" dxfId="31" priority="92" operator="equal">
      <formula>"S"</formula>
    </cfRule>
  </conditionalFormatting>
  <conditionalFormatting sqref="Q555:Q562">
    <cfRule type="cellIs" dxfId="30" priority="91" operator="equal">
      <formula>"S"</formula>
    </cfRule>
  </conditionalFormatting>
  <conditionalFormatting sqref="Q579:Q586">
    <cfRule type="cellIs" dxfId="29" priority="90" operator="equal">
      <formula>"S"</formula>
    </cfRule>
  </conditionalFormatting>
  <conditionalFormatting sqref="Q603:Q610">
    <cfRule type="cellIs" dxfId="28" priority="89" operator="equal">
      <formula>"S"</formula>
    </cfRule>
  </conditionalFormatting>
  <conditionalFormatting sqref="Q627:Q634">
    <cfRule type="cellIs" dxfId="27" priority="88" operator="equal">
      <formula>"S"</formula>
    </cfRule>
  </conditionalFormatting>
  <conditionalFormatting sqref="Q843:Q850">
    <cfRule type="cellIs" dxfId="26" priority="79" operator="equal">
      <formula>"S"</formula>
    </cfRule>
  </conditionalFormatting>
  <conditionalFormatting sqref="Q651:Q658">
    <cfRule type="cellIs" dxfId="25" priority="87" operator="equal">
      <formula>"S"</formula>
    </cfRule>
  </conditionalFormatting>
  <conditionalFormatting sqref="Q675:Q682">
    <cfRule type="cellIs" dxfId="24" priority="86" operator="equal">
      <formula>"S"</formula>
    </cfRule>
  </conditionalFormatting>
  <conditionalFormatting sqref="Q699:Q706">
    <cfRule type="cellIs" dxfId="23" priority="85" operator="equal">
      <formula>"S"</formula>
    </cfRule>
  </conditionalFormatting>
  <conditionalFormatting sqref="Q723:Q730">
    <cfRule type="cellIs" dxfId="22" priority="84" operator="equal">
      <formula>"S"</formula>
    </cfRule>
  </conditionalFormatting>
  <conditionalFormatting sqref="Q747:Q754">
    <cfRule type="cellIs" dxfId="21" priority="83" operator="equal">
      <formula>"S"</formula>
    </cfRule>
  </conditionalFormatting>
  <conditionalFormatting sqref="Q771:Q778">
    <cfRule type="cellIs" dxfId="20" priority="82" operator="equal">
      <formula>"S"</formula>
    </cfRule>
  </conditionalFormatting>
  <conditionalFormatting sqref="Q795:Q802">
    <cfRule type="cellIs" dxfId="19" priority="81" operator="equal">
      <formula>"S"</formula>
    </cfRule>
  </conditionalFormatting>
  <conditionalFormatting sqref="Q851:Q853">
    <cfRule type="cellIs" dxfId="18" priority="78" operator="equal">
      <formula>"S"</formula>
    </cfRule>
  </conditionalFormatting>
  <conditionalFormatting sqref="Q819:Q826">
    <cfRule type="cellIs" dxfId="17" priority="80" operator="equal">
      <formula>"S"</formula>
    </cfRule>
  </conditionalFormatting>
  <conditionalFormatting sqref="Q860:Q862">
    <cfRule type="cellIs" dxfId="16" priority="77" operator="equal">
      <formula>"S"</formula>
    </cfRule>
  </conditionalFormatting>
  <conditionalFormatting sqref="Q869:Q871">
    <cfRule type="cellIs" dxfId="15" priority="76" operator="equal">
      <formula>"S"</formula>
    </cfRule>
  </conditionalFormatting>
  <conditionalFormatting sqref="Q878">
    <cfRule type="cellIs" dxfId="14" priority="75" operator="equal">
      <formula>"S"</formula>
    </cfRule>
  </conditionalFormatting>
  <conditionalFormatting sqref="Q881">
    <cfRule type="cellIs" dxfId="13" priority="74" operator="equal">
      <formula>"S"</formula>
    </cfRule>
  </conditionalFormatting>
  <conditionalFormatting sqref="Q884">
    <cfRule type="cellIs" dxfId="12" priority="73" operator="equal">
      <formula>"S"</formula>
    </cfRule>
  </conditionalFormatting>
  <conditionalFormatting sqref="Q891:Q894">
    <cfRule type="cellIs" dxfId="11" priority="71" operator="equal">
      <formula>"S"</formula>
    </cfRule>
  </conditionalFormatting>
  <conditionalFormatting sqref="Q909">
    <cfRule type="cellIs" dxfId="10" priority="70" operator="equal">
      <formula>"S"</formula>
    </cfRule>
  </conditionalFormatting>
  <conditionalFormatting sqref="Q912">
    <cfRule type="cellIs" dxfId="9" priority="69" operator="equal">
      <formula>"S"</formula>
    </cfRule>
  </conditionalFormatting>
  <conditionalFormatting sqref="Q915">
    <cfRule type="cellIs" dxfId="8" priority="68" operator="equal">
      <formula>"S"</formula>
    </cfRule>
  </conditionalFormatting>
  <conditionalFormatting sqref="Q962">
    <cfRule type="cellIs" dxfId="7" priority="14" operator="equal">
      <formula>"S"</formula>
    </cfRule>
  </conditionalFormatting>
  <conditionalFormatting sqref="Q963">
    <cfRule type="cellIs" dxfId="6" priority="8" operator="equal">
      <formula>"S"</formula>
    </cfRule>
  </conditionalFormatting>
  <conditionalFormatting sqref="Q964">
    <cfRule type="cellIs" dxfId="5" priority="7" operator="equal">
      <formula>"S"</formula>
    </cfRule>
  </conditionalFormatting>
  <conditionalFormatting sqref="Q965">
    <cfRule type="cellIs" dxfId="4" priority="6" operator="equal">
      <formula>"S"</formula>
    </cfRule>
  </conditionalFormatting>
  <conditionalFormatting sqref="Q966">
    <cfRule type="cellIs" dxfId="3" priority="5" operator="equal">
      <formula>"S"</formula>
    </cfRule>
  </conditionalFormatting>
  <conditionalFormatting sqref="Q976">
    <cfRule type="cellIs" dxfId="2" priority="3" operator="equal">
      <formula>"S"</formula>
    </cfRule>
  </conditionalFormatting>
  <conditionalFormatting sqref="Q977">
    <cfRule type="cellIs" dxfId="1" priority="2" operator="equal">
      <formula>"S"</formula>
    </cfRule>
  </conditionalFormatting>
  <conditionalFormatting sqref="Q978">
    <cfRule type="cellIs" dxfId="0" priority="1" operator="equal">
      <formula>"S"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4DD915-4723-9847-AF33-C96535B3967A}">
          <x14:formula1>
            <xm:f>Datos!$A$8:$A$9</xm:f>
          </x14:formula1>
          <xm:sqref>Q968:Q979 Q2:Q962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F8BF8-7487-F041-8725-339B4FCFFA90}">
  <sheetPr codeName="Sheet4"/>
  <dimension ref="A1:C5"/>
  <sheetViews>
    <sheetView showGridLines="0" zoomScale="158" workbookViewId="0">
      <selection activeCell="I20" sqref="I20"/>
    </sheetView>
  </sheetViews>
  <sheetFormatPr baseColWidth="10" defaultRowHeight="15.75" x14ac:dyDescent="0.25"/>
  <cols>
    <col min="1" max="1" width="12.125" bestFit="1" customWidth="1"/>
    <col min="2" max="3" width="15.875" bestFit="1" customWidth="1"/>
  </cols>
  <sheetData>
    <row r="1" spans="1:3" ht="21" x14ac:dyDescent="0.35">
      <c r="A1" s="18" t="s">
        <v>63</v>
      </c>
    </row>
    <row r="3" spans="1:3" x14ac:dyDescent="0.25">
      <c r="A3" t="s">
        <v>67</v>
      </c>
      <c r="B3" s="17">
        <f>+SUM(B4:B5)</f>
        <v>1631031498.4730749</v>
      </c>
      <c r="C3" s="14"/>
    </row>
    <row r="4" spans="1:3" x14ac:dyDescent="0.25">
      <c r="A4" t="s">
        <v>1</v>
      </c>
      <c r="B4" s="17">
        <f>+SUM(Modelo!$B$19:$B$101)</f>
        <v>640850139.35676837</v>
      </c>
    </row>
    <row r="5" spans="1:3" x14ac:dyDescent="0.25">
      <c r="A5" t="s">
        <v>7</v>
      </c>
      <c r="B5" s="17">
        <f>+SUM(Modelo!G19:DV101)</f>
        <v>990181359.11630642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6654-3829-124F-BB34-01EF8AAF75A2}">
  <sheetPr codeName="Sheet7"/>
  <dimension ref="A1:G47"/>
  <sheetViews>
    <sheetView showGridLines="0" workbookViewId="0">
      <selection activeCell="E4" sqref="E4"/>
    </sheetView>
  </sheetViews>
  <sheetFormatPr baseColWidth="10" defaultRowHeight="15.75" x14ac:dyDescent="0.25"/>
  <cols>
    <col min="1" max="1" width="57" customWidth="1"/>
    <col min="2" max="2" width="30.625" customWidth="1"/>
  </cols>
  <sheetData>
    <row r="1" spans="1:7" ht="26.25" x14ac:dyDescent="0.4">
      <c r="A1" s="138" t="s">
        <v>371</v>
      </c>
    </row>
    <row r="2" spans="1:7" ht="21" x14ac:dyDescent="0.35">
      <c r="A2" s="18" t="s">
        <v>370</v>
      </c>
    </row>
    <row r="4" spans="1:7" ht="21" x14ac:dyDescent="0.35">
      <c r="A4" s="18" t="s">
        <v>343</v>
      </c>
      <c r="B4" s="131"/>
      <c r="C4" s="131"/>
      <c r="E4" s="127"/>
    </row>
    <row r="5" spans="1:7" x14ac:dyDescent="0.25">
      <c r="A5" s="131"/>
      <c r="B5" s="131"/>
      <c r="C5" s="131"/>
    </row>
    <row r="6" spans="1:7" x14ac:dyDescent="0.25">
      <c r="A6" s="132" t="s">
        <v>332</v>
      </c>
      <c r="B6" s="132" t="s">
        <v>333</v>
      </c>
      <c r="C6" s="131"/>
    </row>
    <row r="7" spans="1:7" x14ac:dyDescent="0.25">
      <c r="A7" s="133" t="s">
        <v>334</v>
      </c>
      <c r="B7" s="134">
        <v>1</v>
      </c>
      <c r="C7" s="131"/>
    </row>
    <row r="8" spans="1:7" x14ac:dyDescent="0.25">
      <c r="A8" s="133" t="s">
        <v>335</v>
      </c>
      <c r="B8" s="134">
        <v>0.8</v>
      </c>
      <c r="C8" s="131"/>
    </row>
    <row r="9" spans="1:7" x14ac:dyDescent="0.25">
      <c r="A9" s="133" t="s">
        <v>336</v>
      </c>
      <c r="B9" s="134">
        <v>0.7</v>
      </c>
      <c r="C9" s="131"/>
      <c r="G9" s="26"/>
    </row>
    <row r="10" spans="1:7" x14ac:dyDescent="0.25">
      <c r="A10" s="133" t="s">
        <v>337</v>
      </c>
      <c r="B10" s="134">
        <v>0.61199999999999999</v>
      </c>
      <c r="C10" s="131"/>
      <c r="G10" s="26"/>
    </row>
    <row r="11" spans="1:7" x14ac:dyDescent="0.25">
      <c r="A11" s="133" t="s">
        <v>338</v>
      </c>
      <c r="B11" s="134">
        <v>0.54400000000000004</v>
      </c>
      <c r="C11" s="131"/>
      <c r="G11" s="26"/>
    </row>
    <row r="12" spans="1:7" x14ac:dyDescent="0.25">
      <c r="A12" s="133" t="s">
        <v>339</v>
      </c>
      <c r="B12" s="134">
        <v>0.47599999999999998</v>
      </c>
      <c r="C12" s="131"/>
      <c r="G12" s="26"/>
    </row>
    <row r="13" spans="1:7" x14ac:dyDescent="0.25">
      <c r="A13" s="133" t="s">
        <v>340</v>
      </c>
      <c r="B13" s="134">
        <v>0.40799999999999997</v>
      </c>
      <c r="C13" s="131"/>
    </row>
    <row r="14" spans="1:7" x14ac:dyDescent="0.25">
      <c r="A14" s="133" t="s">
        <v>341</v>
      </c>
      <c r="B14" s="134">
        <v>3.7499999999999999E-2</v>
      </c>
      <c r="C14" s="131"/>
    </row>
    <row r="15" spans="1:7" x14ac:dyDescent="0.25">
      <c r="A15" s="133" t="s">
        <v>342</v>
      </c>
      <c r="B15" s="134">
        <v>5.4999999999999997E-3</v>
      </c>
      <c r="C15" s="131"/>
    </row>
    <row r="16" spans="1:7" ht="21" x14ac:dyDescent="0.35">
      <c r="A16" s="130"/>
      <c r="B16" s="133"/>
      <c r="C16" s="131"/>
    </row>
    <row r="17" spans="1:3" ht="21" x14ac:dyDescent="0.35">
      <c r="A17" s="135" t="s">
        <v>350</v>
      </c>
      <c r="B17" s="133"/>
      <c r="C17" s="131"/>
    </row>
    <row r="18" spans="1:3" x14ac:dyDescent="0.25">
      <c r="A18" s="136"/>
      <c r="B18" s="133"/>
      <c r="C18" s="131"/>
    </row>
    <row r="19" spans="1:3" x14ac:dyDescent="0.25">
      <c r="A19" s="132" t="s">
        <v>344</v>
      </c>
      <c r="B19" s="132" t="s">
        <v>345</v>
      </c>
      <c r="C19" s="131"/>
    </row>
    <row r="20" spans="1:3" x14ac:dyDescent="0.25">
      <c r="A20" s="133" t="s">
        <v>346</v>
      </c>
      <c r="B20" s="137">
        <v>0.1</v>
      </c>
      <c r="C20" s="131"/>
    </row>
    <row r="21" spans="1:3" x14ac:dyDescent="0.25">
      <c r="A21" s="133" t="s">
        <v>347</v>
      </c>
      <c r="B21" s="137">
        <v>0.7</v>
      </c>
      <c r="C21" s="131"/>
    </row>
    <row r="22" spans="1:3" x14ac:dyDescent="0.25">
      <c r="A22" s="133" t="s">
        <v>348</v>
      </c>
      <c r="B22" s="137">
        <v>0.8</v>
      </c>
      <c r="C22" s="131"/>
    </row>
    <row r="23" spans="1:3" x14ac:dyDescent="0.25">
      <c r="A23" s="133" t="s">
        <v>349</v>
      </c>
      <c r="B23" s="137">
        <v>0.8</v>
      </c>
      <c r="C23" s="131"/>
    </row>
    <row r="24" spans="1:3" ht="21" x14ac:dyDescent="0.35">
      <c r="A24" s="130"/>
      <c r="B24" s="133"/>
      <c r="C24" s="131"/>
    </row>
    <row r="25" spans="1:3" ht="21" x14ac:dyDescent="0.35">
      <c r="A25" s="135" t="s">
        <v>346</v>
      </c>
      <c r="B25" s="133"/>
      <c r="C25" s="131"/>
    </row>
    <row r="26" spans="1:3" x14ac:dyDescent="0.25">
      <c r="A26" s="133"/>
      <c r="B26" s="133"/>
      <c r="C26" s="131"/>
    </row>
    <row r="27" spans="1:3" x14ac:dyDescent="0.25">
      <c r="A27" s="132" t="s">
        <v>351</v>
      </c>
      <c r="B27" s="132" t="s">
        <v>352</v>
      </c>
      <c r="C27" s="131"/>
    </row>
    <row r="28" spans="1:3" x14ac:dyDescent="0.25">
      <c r="A28" s="133">
        <v>27</v>
      </c>
      <c r="B28" s="133" t="s">
        <v>353</v>
      </c>
      <c r="C28" s="131"/>
    </row>
    <row r="29" spans="1:3" x14ac:dyDescent="0.25">
      <c r="A29" s="133">
        <v>44</v>
      </c>
      <c r="B29" s="133" t="s">
        <v>354</v>
      </c>
      <c r="C29" s="131"/>
    </row>
    <row r="30" spans="1:3" x14ac:dyDescent="0.25">
      <c r="A30" s="133">
        <v>94</v>
      </c>
      <c r="B30" s="133" t="s">
        <v>355</v>
      </c>
      <c r="C30" s="131"/>
    </row>
    <row r="31" spans="1:3" x14ac:dyDescent="0.25">
      <c r="A31" s="133">
        <v>97</v>
      </c>
      <c r="B31" s="133" t="s">
        <v>356</v>
      </c>
      <c r="C31" s="131"/>
    </row>
    <row r="32" spans="1:3" x14ac:dyDescent="0.25">
      <c r="A32" s="133">
        <v>99</v>
      </c>
      <c r="B32" s="133" t="s">
        <v>357</v>
      </c>
      <c r="C32" s="131"/>
    </row>
    <row r="33" spans="1:3" x14ac:dyDescent="0.25">
      <c r="A33" s="133">
        <v>19</v>
      </c>
      <c r="B33" s="133" t="s">
        <v>358</v>
      </c>
      <c r="C33" s="131"/>
    </row>
    <row r="34" spans="1:3" x14ac:dyDescent="0.25">
      <c r="A34" s="133">
        <v>95</v>
      </c>
      <c r="B34" s="133" t="s">
        <v>359</v>
      </c>
      <c r="C34" s="131"/>
    </row>
    <row r="35" spans="1:3" x14ac:dyDescent="0.25">
      <c r="A35" s="133">
        <v>18</v>
      </c>
      <c r="B35" s="133" t="s">
        <v>360</v>
      </c>
      <c r="C35" s="131"/>
    </row>
    <row r="36" spans="1:3" x14ac:dyDescent="0.25">
      <c r="A36" s="133">
        <v>70</v>
      </c>
      <c r="B36" s="133" t="s">
        <v>361</v>
      </c>
      <c r="C36" s="131"/>
    </row>
    <row r="37" spans="1:3" x14ac:dyDescent="0.25">
      <c r="A37" s="133">
        <v>23</v>
      </c>
      <c r="B37" s="133" t="s">
        <v>362</v>
      </c>
      <c r="C37" s="131"/>
    </row>
    <row r="38" spans="1:3" x14ac:dyDescent="0.25">
      <c r="A38" s="133">
        <v>86</v>
      </c>
      <c r="B38" s="133" t="s">
        <v>363</v>
      </c>
      <c r="C38" s="131"/>
    </row>
    <row r="39" spans="1:3" x14ac:dyDescent="0.25">
      <c r="A39" s="133">
        <v>91</v>
      </c>
      <c r="B39" s="133" t="s">
        <v>364</v>
      </c>
      <c r="C39" s="131"/>
    </row>
    <row r="40" spans="1:3" x14ac:dyDescent="0.25">
      <c r="A40" s="133"/>
      <c r="B40" s="133" t="s">
        <v>375</v>
      </c>
      <c r="C40" s="131"/>
    </row>
    <row r="41" spans="1:3" ht="21" x14ac:dyDescent="0.35">
      <c r="A41" s="135" t="s">
        <v>369</v>
      </c>
      <c r="B41" s="133"/>
      <c r="C41" s="131"/>
    </row>
    <row r="42" spans="1:3" x14ac:dyDescent="0.25">
      <c r="A42" s="133"/>
      <c r="B42" s="133"/>
      <c r="C42" s="131"/>
    </row>
    <row r="43" spans="1:3" x14ac:dyDescent="0.25">
      <c r="A43" s="132" t="s">
        <v>365</v>
      </c>
      <c r="B43" s="132" t="s">
        <v>366</v>
      </c>
      <c r="C43" s="131"/>
    </row>
    <row r="44" spans="1:3" x14ac:dyDescent="0.25">
      <c r="A44" s="133" t="s">
        <v>367</v>
      </c>
      <c r="B44" s="134">
        <v>0.9</v>
      </c>
      <c r="C44" s="133"/>
    </row>
    <row r="45" spans="1:3" x14ac:dyDescent="0.25">
      <c r="A45" s="133" t="s">
        <v>349</v>
      </c>
      <c r="B45" s="134">
        <v>0.9</v>
      </c>
      <c r="C45" s="133"/>
    </row>
    <row r="46" spans="1:3" x14ac:dyDescent="0.25">
      <c r="A46" s="133" t="s">
        <v>368</v>
      </c>
      <c r="B46" s="134">
        <v>1.1000000000000001</v>
      </c>
      <c r="C46" s="133"/>
    </row>
    <row r="47" spans="1:3" x14ac:dyDescent="0.25">
      <c r="A47" s="128"/>
      <c r="B47" s="1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3A9B-1698-ED49-9469-363BFE3F1AC3}">
  <sheetPr codeName="Sheet6"/>
  <dimension ref="A1:B11"/>
  <sheetViews>
    <sheetView workbookViewId="0">
      <selection activeCell="A11" sqref="A11"/>
    </sheetView>
  </sheetViews>
  <sheetFormatPr baseColWidth="10" defaultRowHeight="15.75" x14ac:dyDescent="0.25"/>
  <sheetData>
    <row r="1" spans="1:2" x14ac:dyDescent="0.25">
      <c r="A1" t="s">
        <v>48</v>
      </c>
    </row>
    <row r="3" spans="1:2" x14ac:dyDescent="0.25">
      <c r="A3" t="s">
        <v>45</v>
      </c>
      <c r="B3" s="3">
        <f ca="1">+TODAY()</f>
        <v>44008</v>
      </c>
    </row>
    <row r="4" spans="1:2" x14ac:dyDescent="0.25">
      <c r="A4" t="s">
        <v>46</v>
      </c>
    </row>
    <row r="5" spans="1:2" x14ac:dyDescent="0.25">
      <c r="A5" t="s">
        <v>47</v>
      </c>
    </row>
    <row r="7" spans="1:2" x14ac:dyDescent="0.25">
      <c r="A7" t="s">
        <v>50</v>
      </c>
    </row>
    <row r="8" spans="1:2" x14ac:dyDescent="0.25">
      <c r="A8" t="s">
        <v>51</v>
      </c>
    </row>
    <row r="9" spans="1:2" x14ac:dyDescent="0.25">
      <c r="A9" t="s">
        <v>52</v>
      </c>
    </row>
    <row r="10" spans="1:2" x14ac:dyDescent="0.25">
      <c r="A10" t="s">
        <v>54</v>
      </c>
    </row>
    <row r="11" spans="1:2" x14ac:dyDescent="0.25">
      <c r="A11" s="4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55</vt:i4>
      </vt:variant>
    </vt:vector>
  </HeadingPairs>
  <TitlesOfParts>
    <vt:vector size="62" baseType="lpstr">
      <vt:lpstr>Parametros tecnológicos</vt:lpstr>
      <vt:lpstr>Espectro MW</vt:lpstr>
      <vt:lpstr>Modelo</vt:lpstr>
      <vt:lpstr>Detalle</vt:lpstr>
      <vt:lpstr>Resultados</vt:lpstr>
      <vt:lpstr>Tablas Espectro MW</vt:lpstr>
      <vt:lpstr>Datos</vt:lpstr>
      <vt:lpstr>Altura</vt:lpstr>
      <vt:lpstr>Cantidad_postes</vt:lpstr>
      <vt:lpstr>CapacidadRadioenlace</vt:lpstr>
      <vt:lpstr>ClaseTorre</vt:lpstr>
      <vt:lpstr>ClaseTorreRango</vt:lpstr>
      <vt:lpstr>ClaseValor</vt:lpstr>
      <vt:lpstr>Conceptos</vt:lpstr>
      <vt:lpstr>Costo_W</vt:lpstr>
      <vt:lpstr>Detalle</vt:lpstr>
      <vt:lpstr>DiametroAntenaMts</vt:lpstr>
      <vt:lpstr>DistanciaEnergiaSTD</vt:lpstr>
      <vt:lpstr>DistanciaRedEnergia</vt:lpstr>
      <vt:lpstr>EnlaceTransmisionMw</vt:lpstr>
      <vt:lpstr>EventosMmto</vt:lpstr>
      <vt:lpstr>EventosMmtoEquipos</vt:lpstr>
      <vt:lpstr>EventosMmtoMT</vt:lpstr>
      <vt:lpstr>Factor_Potencia_Diseno</vt:lpstr>
      <vt:lpstr>FTTH_Rango</vt:lpstr>
      <vt:lpstr>InicioFuncion</vt:lpstr>
      <vt:lpstr>InicioObra</vt:lpstr>
      <vt:lpstr>IPCAcumuladoAnual</vt:lpstr>
      <vt:lpstr>KW_Energia</vt:lpstr>
      <vt:lpstr>KW_EnergiaValor</vt:lpstr>
      <vt:lpstr>Longitud_BackHaul</vt:lpstr>
      <vt:lpstr>LongitudAcometida</vt:lpstr>
      <vt:lpstr>LTEBHSatelital_5G</vt:lpstr>
      <vt:lpstr>MesesReconocimiento</vt:lpstr>
      <vt:lpstr>MmtoGarantia1</vt:lpstr>
      <vt:lpstr>MmtoGarantia2</vt:lpstr>
      <vt:lpstr>MmtoGarantia3</vt:lpstr>
      <vt:lpstr>MWEquiposHTSB</vt:lpstr>
      <vt:lpstr>PlantaElectrica</vt:lpstr>
      <vt:lpstr>PorcentajeImprevistos</vt:lpstr>
      <vt:lpstr>Potencia</vt:lpstr>
      <vt:lpstr>RangoSectorEnodeb</vt:lpstr>
      <vt:lpstr>Relacion</vt:lpstr>
      <vt:lpstr>RelacionContencion</vt:lpstr>
      <vt:lpstr>SectorEnodeb</vt:lpstr>
      <vt:lpstr>Splitters</vt:lpstr>
      <vt:lpstr>Subscriptores</vt:lpstr>
      <vt:lpstr>SubscriptoresSugeridos</vt:lpstr>
      <vt:lpstr>Terreno_Energia</vt:lpstr>
      <vt:lpstr>Tipo</vt:lpstr>
      <vt:lpstr>Tipo_Terreno</vt:lpstr>
      <vt:lpstr>TipoEspecifico</vt:lpstr>
      <vt:lpstr>Tipologia</vt:lpstr>
      <vt:lpstr>Tipologia_Campo</vt:lpstr>
      <vt:lpstr>TipoRed</vt:lpstr>
      <vt:lpstr>TmcBw</vt:lpstr>
      <vt:lpstr>TRM</vt:lpstr>
      <vt:lpstr>ValocidadPromedioDL</vt:lpstr>
      <vt:lpstr>ValoresMercado</vt:lpstr>
      <vt:lpstr>Velocidad</vt:lpstr>
      <vt:lpstr>Velocidad_Capacidad</vt:lpstr>
      <vt:lpstr>VelocidadPromedioDL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Reinel Alvarado Pineda</dc:creator>
  <cp:lastModifiedBy>Luis Carlos Ariza Gordillo</cp:lastModifiedBy>
  <dcterms:created xsi:type="dcterms:W3CDTF">2020-03-08T18:37:55Z</dcterms:created>
  <dcterms:modified xsi:type="dcterms:W3CDTF">2020-06-26T16:40:29Z</dcterms:modified>
</cp:coreProperties>
</file>